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ensen20\Desktop\"/>
    </mc:Choice>
  </mc:AlternateContent>
  <bookViews>
    <workbookView xWindow="0" yWindow="0" windowWidth="19200" windowHeight="7056" tabRatio="884" activeTab="12"/>
  </bookViews>
  <sheets>
    <sheet name="July 2018" sheetId="1" r:id="rId1"/>
    <sheet name="Aug. 2018" sheetId="2" r:id="rId2"/>
    <sheet name="Sept. 2018" sheetId="3" r:id="rId3"/>
    <sheet name="Oct. 2018" sheetId="4" r:id="rId4"/>
    <sheet name="Nov. 2018" sheetId="5" r:id="rId5"/>
    <sheet name="Dec. 2018" sheetId="6" r:id="rId6"/>
    <sheet name="Jan. 2019" sheetId="7" r:id="rId7"/>
    <sheet name="Feb. 2019" sheetId="8" r:id="rId8"/>
    <sheet name="March 2019" sheetId="9" r:id="rId9"/>
    <sheet name="April 2019" sheetId="10" r:id="rId10"/>
    <sheet name="May 2019" sheetId="11" r:id="rId11"/>
    <sheet name="June 2019" sheetId="12" r:id="rId12"/>
    <sheet name="Total" sheetId="13" r:id="rId13"/>
  </sheets>
  <definedNames>
    <definedName name="_xlnm.Print_Area" localSheetId="0">'July 2018'!$B$1:$N$220</definedName>
  </definedNames>
  <calcPr calcId="162913"/>
</workbook>
</file>

<file path=xl/calcChain.xml><?xml version="1.0" encoding="utf-8"?>
<calcChain xmlns="http://schemas.openxmlformats.org/spreadsheetml/2006/main">
  <c r="E32" i="13" l="1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31" i="13"/>
  <c r="E20" i="13"/>
  <c r="E20" i="1"/>
  <c r="G145" i="9"/>
  <c r="M92" i="9"/>
  <c r="E59" i="12"/>
  <c r="E59" i="11"/>
  <c r="E59" i="10"/>
  <c r="E59" i="9"/>
  <c r="E59" i="8"/>
  <c r="E59" i="7"/>
  <c r="E59" i="6"/>
  <c r="E59" i="5"/>
  <c r="E59" i="4"/>
  <c r="E59" i="3"/>
  <c r="E59" i="2"/>
  <c r="E59" i="1"/>
  <c r="E59" i="13" l="1"/>
  <c r="M70" i="12"/>
  <c r="D19" i="12"/>
  <c r="L188" i="12" l="1"/>
  <c r="L187" i="12"/>
  <c r="K188" i="12"/>
  <c r="K187" i="12"/>
  <c r="J187" i="12"/>
  <c r="H187" i="12"/>
  <c r="G188" i="12"/>
  <c r="G187" i="12"/>
  <c r="F187" i="12"/>
  <c r="E187" i="12"/>
  <c r="D187" i="12"/>
  <c r="F189" i="12"/>
  <c r="E139" i="12"/>
  <c r="E130" i="12"/>
  <c r="E129" i="12"/>
  <c r="E128" i="12"/>
  <c r="E126" i="12"/>
  <c r="E119" i="12"/>
  <c r="E122" i="12"/>
  <c r="G70" i="12" l="1"/>
  <c r="F70" i="12"/>
  <c r="D70" i="12"/>
  <c r="I70" i="12"/>
  <c r="F19" i="12"/>
  <c r="E19" i="12" l="1"/>
  <c r="I19" i="12" l="1"/>
  <c r="H19" i="12" l="1"/>
  <c r="L19" i="12" l="1"/>
  <c r="J19" i="12"/>
  <c r="J19" i="11" l="1"/>
  <c r="G19" i="12" l="1"/>
  <c r="K19" i="12"/>
  <c r="M70" i="11" l="1"/>
  <c r="N70" i="11"/>
  <c r="G70" i="11"/>
  <c r="F70" i="11"/>
  <c r="D70" i="11"/>
  <c r="I70" i="11"/>
  <c r="E181" i="11"/>
  <c r="F178" i="11"/>
  <c r="E178" i="11"/>
  <c r="D19" i="11" l="1"/>
  <c r="E139" i="11" l="1"/>
  <c r="E130" i="11"/>
  <c r="E129" i="11"/>
  <c r="E119" i="11"/>
  <c r="E120" i="11"/>
  <c r="E122" i="11"/>
  <c r="L19" i="11" l="1"/>
  <c r="F19" i="11" l="1"/>
  <c r="G19" i="11"/>
  <c r="H19" i="11"/>
  <c r="E19" i="11" l="1"/>
  <c r="I19" i="11" l="1"/>
  <c r="K19" i="11" l="1"/>
  <c r="G187" i="9" l="1"/>
  <c r="M70" i="10" l="1"/>
  <c r="D70" i="10" l="1"/>
  <c r="G70" i="10"/>
  <c r="F70" i="10"/>
  <c r="I70" i="10"/>
  <c r="E183" i="10"/>
  <c r="E182" i="10"/>
  <c r="E181" i="10"/>
  <c r="F178" i="10"/>
  <c r="E178" i="10"/>
  <c r="E119" i="10" l="1"/>
  <c r="E120" i="10"/>
  <c r="E122" i="10"/>
  <c r="D19" i="10"/>
  <c r="G19" i="10" l="1"/>
  <c r="K19" i="10" l="1"/>
  <c r="E19" i="10"/>
  <c r="F19" i="10" l="1"/>
  <c r="J19" i="10"/>
  <c r="H19" i="10" l="1"/>
  <c r="I19" i="10" l="1"/>
  <c r="L18" i="10" l="1"/>
  <c r="E139" i="10" l="1"/>
  <c r="E130" i="10"/>
  <c r="E129" i="10"/>
  <c r="E128" i="10"/>
  <c r="E126" i="10"/>
  <c r="F70" i="9" l="1"/>
  <c r="D70" i="9"/>
  <c r="E183" i="9"/>
  <c r="E182" i="9"/>
  <c r="E181" i="9"/>
  <c r="F178" i="9"/>
  <c r="E178" i="9"/>
  <c r="M70" i="9" l="1"/>
  <c r="G70" i="9"/>
  <c r="I70" i="9"/>
  <c r="D19" i="9" l="1"/>
  <c r="N89" i="9" l="1"/>
  <c r="E122" i="9" l="1"/>
  <c r="E121" i="9"/>
  <c r="E119" i="9"/>
  <c r="E130" i="9"/>
  <c r="E129" i="9"/>
  <c r="E139" i="9"/>
  <c r="H19" i="9"/>
  <c r="J19" i="9" l="1"/>
  <c r="E19" i="9" l="1"/>
  <c r="I19" i="9" l="1"/>
  <c r="G19" i="9" l="1"/>
  <c r="L19" i="9" l="1"/>
  <c r="F19" i="9" l="1"/>
  <c r="F18" i="9"/>
  <c r="K19" i="9"/>
  <c r="G19" i="8" l="1"/>
  <c r="D19" i="8"/>
  <c r="E19" i="8" l="1"/>
  <c r="M70" i="8" l="1"/>
  <c r="N73" i="8"/>
  <c r="E130" i="8"/>
  <c r="E129" i="8"/>
  <c r="E139" i="8"/>
  <c r="E120" i="8"/>
  <c r="E119" i="8"/>
  <c r="F70" i="8"/>
  <c r="I70" i="8"/>
  <c r="D70" i="8"/>
  <c r="G70" i="8"/>
  <c r="H19" i="8"/>
  <c r="N91" i="7" l="1"/>
  <c r="H92" i="7"/>
  <c r="M70" i="7" l="1"/>
  <c r="N73" i="7"/>
  <c r="E139" i="7" l="1"/>
  <c r="E130" i="7"/>
  <c r="E129" i="7"/>
  <c r="E122" i="7"/>
  <c r="E120" i="7"/>
  <c r="E119" i="7"/>
  <c r="G70" i="7"/>
  <c r="F70" i="7"/>
  <c r="D70" i="7"/>
  <c r="I70" i="7"/>
  <c r="K96" i="7" l="1"/>
  <c r="D104" i="13" l="1"/>
  <c r="J19" i="5"/>
  <c r="E120" i="6" l="1"/>
  <c r="E122" i="6"/>
  <c r="M70" i="6"/>
  <c r="N73" i="6"/>
  <c r="E130" i="6"/>
  <c r="E129" i="6"/>
  <c r="E139" i="6"/>
  <c r="I70" i="6"/>
  <c r="D70" i="6"/>
  <c r="F70" i="6"/>
  <c r="G70" i="6"/>
  <c r="L188" i="6" l="1"/>
  <c r="G187" i="6"/>
  <c r="F187" i="6"/>
  <c r="K19" i="6" l="1"/>
  <c r="L19" i="5" l="1"/>
  <c r="D19" i="5"/>
  <c r="E139" i="5" l="1"/>
  <c r="E130" i="5"/>
  <c r="E129" i="5"/>
  <c r="E128" i="5"/>
  <c r="E122" i="5"/>
  <c r="E120" i="5"/>
  <c r="E119" i="5"/>
  <c r="L92" i="5"/>
  <c r="F20" i="4" l="1"/>
  <c r="M70" i="4" l="1"/>
  <c r="N73" i="4"/>
  <c r="F70" i="4"/>
  <c r="G70" i="4"/>
  <c r="D70" i="4"/>
  <c r="I70" i="4"/>
  <c r="J70" i="4"/>
  <c r="E19" i="4" l="1"/>
  <c r="E132" i="4" l="1"/>
  <c r="E131" i="4"/>
  <c r="E130" i="4"/>
  <c r="E129" i="4"/>
  <c r="E139" i="4"/>
  <c r="E119" i="4"/>
  <c r="E120" i="4"/>
  <c r="E121" i="4"/>
  <c r="E122" i="4"/>
  <c r="D6" i="13"/>
  <c r="D7" i="13"/>
  <c r="D8" i="13"/>
  <c r="D9" i="13"/>
  <c r="D10" i="13"/>
  <c r="E8" i="13"/>
  <c r="E9" i="13"/>
  <c r="E10" i="13"/>
  <c r="F6" i="13"/>
  <c r="F7" i="13"/>
  <c r="F8" i="13"/>
  <c r="F9" i="13"/>
  <c r="F10" i="13"/>
  <c r="G6" i="13"/>
  <c r="G8" i="13"/>
  <c r="G9" i="13"/>
  <c r="G10" i="13"/>
  <c r="H6" i="13"/>
  <c r="H7" i="13"/>
  <c r="H8" i="13"/>
  <c r="H9" i="13"/>
  <c r="H10" i="13"/>
  <c r="I6" i="13"/>
  <c r="I8" i="13"/>
  <c r="I9" i="13"/>
  <c r="I10" i="13"/>
  <c r="J6" i="13"/>
  <c r="J9" i="13"/>
  <c r="J10" i="13"/>
  <c r="E139" i="3" l="1"/>
  <c r="M17" i="3"/>
  <c r="M18" i="3"/>
  <c r="M19" i="3"/>
  <c r="M16" i="3"/>
  <c r="M70" i="3" l="1"/>
  <c r="N70" i="3" s="1"/>
  <c r="N73" i="3"/>
  <c r="E131" i="3"/>
  <c r="E130" i="3"/>
  <c r="E129" i="3"/>
  <c r="E128" i="3"/>
  <c r="E122" i="3"/>
  <c r="E121" i="3"/>
  <c r="E120" i="3"/>
  <c r="E119" i="3"/>
  <c r="D70" i="3"/>
  <c r="N70" i="2"/>
  <c r="F70" i="3"/>
  <c r="I70" i="3"/>
  <c r="G70" i="3"/>
  <c r="L187" i="3" l="1"/>
  <c r="K187" i="3"/>
  <c r="G187" i="3"/>
  <c r="M64" i="2" l="1"/>
  <c r="M64" i="3"/>
  <c r="K19" i="3"/>
  <c r="M23" i="3"/>
  <c r="M24" i="3"/>
  <c r="E96" i="13" l="1"/>
  <c r="F96" i="13"/>
  <c r="G96" i="13"/>
  <c r="H96" i="13"/>
  <c r="I96" i="13"/>
  <c r="J96" i="13"/>
  <c r="K96" i="13"/>
  <c r="L96" i="13"/>
  <c r="E74" i="13"/>
  <c r="E75" i="13"/>
  <c r="E73" i="13"/>
  <c r="E24" i="13"/>
  <c r="F24" i="13"/>
  <c r="G24" i="13"/>
  <c r="H24" i="13"/>
  <c r="I24" i="13"/>
  <c r="J24" i="13"/>
  <c r="K24" i="13"/>
  <c r="L24" i="13"/>
  <c r="E23" i="13"/>
  <c r="F23" i="13"/>
  <c r="G23" i="13"/>
  <c r="H23" i="13"/>
  <c r="I23" i="13"/>
  <c r="J23" i="13"/>
  <c r="K23" i="13"/>
  <c r="L23" i="13"/>
  <c r="E19" i="13"/>
  <c r="F19" i="13"/>
  <c r="G19" i="13"/>
  <c r="H19" i="13"/>
  <c r="I19" i="13"/>
  <c r="J19" i="13"/>
  <c r="K19" i="13"/>
  <c r="L19" i="13"/>
  <c r="E18" i="13"/>
  <c r="F18" i="13"/>
  <c r="G18" i="13"/>
  <c r="H18" i="13"/>
  <c r="I18" i="13"/>
  <c r="J18" i="13"/>
  <c r="K18" i="13"/>
  <c r="L18" i="13"/>
  <c r="E17" i="13"/>
  <c r="F17" i="13"/>
  <c r="G17" i="13"/>
  <c r="H17" i="13"/>
  <c r="I17" i="13"/>
  <c r="J17" i="13"/>
  <c r="K17" i="13"/>
  <c r="L17" i="13"/>
  <c r="E16" i="13"/>
  <c r="F16" i="13"/>
  <c r="G16" i="13"/>
  <c r="H16" i="13"/>
  <c r="I16" i="13"/>
  <c r="J16" i="13"/>
  <c r="K16" i="13"/>
  <c r="L16" i="13"/>
  <c r="M96" i="3" l="1"/>
  <c r="L97" i="2"/>
  <c r="K97" i="2"/>
  <c r="J97" i="2"/>
  <c r="I97" i="2"/>
  <c r="H97" i="2"/>
  <c r="G97" i="2"/>
  <c r="F97" i="2"/>
  <c r="E97" i="2"/>
  <c r="E139" i="2" l="1"/>
  <c r="E133" i="2"/>
  <c r="E132" i="2"/>
  <c r="E131" i="2"/>
  <c r="E130" i="2"/>
  <c r="E129" i="2"/>
  <c r="E128" i="2"/>
  <c r="E126" i="2"/>
  <c r="E122" i="2"/>
  <c r="E121" i="2"/>
  <c r="E120" i="2"/>
  <c r="E119" i="2"/>
  <c r="M70" i="2" l="1"/>
  <c r="L97" i="3"/>
  <c r="K97" i="3"/>
  <c r="J97" i="3"/>
  <c r="I97" i="3"/>
  <c r="H97" i="3"/>
  <c r="G97" i="3"/>
  <c r="F97" i="3"/>
  <c r="E97" i="3"/>
  <c r="D97" i="3"/>
  <c r="N73" i="2"/>
  <c r="D70" i="2"/>
  <c r="F70" i="2"/>
  <c r="G70" i="2"/>
  <c r="I70" i="2"/>
  <c r="M70" i="1" l="1"/>
  <c r="D19" i="1" l="1"/>
  <c r="N73" i="1" l="1"/>
  <c r="K19" i="1"/>
  <c r="E139" i="1"/>
  <c r="E131" i="1"/>
  <c r="E130" i="1"/>
  <c r="E129" i="1"/>
  <c r="E128" i="1"/>
  <c r="E128" i="13" s="1"/>
  <c r="E126" i="13"/>
  <c r="E129" i="13"/>
  <c r="E130" i="13"/>
  <c r="E132" i="13"/>
  <c r="E131" i="13"/>
  <c r="E137" i="13"/>
  <c r="E139" i="13"/>
  <c r="E122" i="1" l="1"/>
  <c r="E120" i="1"/>
  <c r="E119" i="1"/>
  <c r="G70" i="1"/>
  <c r="F70" i="1"/>
  <c r="D70" i="1"/>
  <c r="I70" i="1"/>
  <c r="G148" i="9" l="1"/>
  <c r="G146" i="9"/>
  <c r="G147" i="9"/>
  <c r="G144" i="9"/>
  <c r="L189" i="13" l="1"/>
  <c r="L188" i="13"/>
  <c r="D174" i="13" l="1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M92" i="12"/>
  <c r="N73" i="13"/>
  <c r="N72" i="13"/>
  <c r="E70" i="13"/>
  <c r="H70" i="13"/>
  <c r="I70" i="13"/>
  <c r="J70" i="13"/>
  <c r="K70" i="13"/>
  <c r="L70" i="13"/>
  <c r="C70" i="13"/>
  <c r="E64" i="13"/>
  <c r="F64" i="13"/>
  <c r="G64" i="13"/>
  <c r="H64" i="13"/>
  <c r="I64" i="13"/>
  <c r="J64" i="13"/>
  <c r="K64" i="13"/>
  <c r="L64" i="13"/>
  <c r="D64" i="13"/>
  <c r="K10" i="13"/>
  <c r="L10" i="13"/>
  <c r="K9" i="13"/>
  <c r="L9" i="13"/>
  <c r="J8" i="13"/>
  <c r="K8" i="13"/>
  <c r="L8" i="13"/>
  <c r="E7" i="13"/>
  <c r="G7" i="13"/>
  <c r="I7" i="13"/>
  <c r="J7" i="13"/>
  <c r="K7" i="13"/>
  <c r="L7" i="13"/>
  <c r="E6" i="13"/>
  <c r="K6" i="13"/>
  <c r="L6" i="13"/>
  <c r="M64" i="13" l="1"/>
  <c r="M8" i="13"/>
  <c r="M9" i="13"/>
  <c r="M10" i="13"/>
  <c r="M6" i="13"/>
  <c r="M7" i="13"/>
  <c r="D175" i="12"/>
  <c r="M70" i="13" l="1"/>
  <c r="D70" i="13" l="1"/>
  <c r="F70" i="13"/>
  <c r="G70" i="13"/>
  <c r="N91" i="12"/>
  <c r="N70" i="13" l="1"/>
  <c r="F175" i="12"/>
  <c r="M32" i="11" l="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31" i="11" l="1"/>
  <c r="F175" i="11" l="1"/>
  <c r="N91" i="11" l="1"/>
  <c r="M58" i="11" l="1"/>
  <c r="N91" i="10" l="1"/>
  <c r="F175" i="10" l="1"/>
  <c r="D175" i="10" l="1"/>
  <c r="M192" i="12" l="1"/>
  <c r="M189" i="12"/>
  <c r="M188" i="12"/>
  <c r="M187" i="12"/>
  <c r="M192" i="11"/>
  <c r="M189" i="11"/>
  <c r="M188" i="11"/>
  <c r="M187" i="11"/>
  <c r="M192" i="10"/>
  <c r="M189" i="10"/>
  <c r="M188" i="10"/>
  <c r="M187" i="10"/>
  <c r="M192" i="8"/>
  <c r="M189" i="7"/>
  <c r="M188" i="7"/>
  <c r="M187" i="7"/>
  <c r="M192" i="7"/>
  <c r="M192" i="4"/>
  <c r="M192" i="3"/>
  <c r="M192" i="9"/>
  <c r="M189" i="9"/>
  <c r="M188" i="9"/>
  <c r="M187" i="9"/>
  <c r="M99" i="11" l="1"/>
  <c r="M99" i="10"/>
  <c r="M99" i="9"/>
  <c r="G145" i="12" l="1"/>
  <c r="G146" i="12"/>
  <c r="G147" i="12"/>
  <c r="G148" i="12"/>
  <c r="G144" i="12"/>
  <c r="G145" i="11"/>
  <c r="G146" i="11"/>
  <c r="G147" i="11"/>
  <c r="G148" i="11"/>
  <c r="G144" i="11"/>
  <c r="G145" i="10"/>
  <c r="G146" i="10"/>
  <c r="G147" i="10"/>
  <c r="G148" i="10"/>
  <c r="G144" i="10"/>
  <c r="G144" i="8"/>
  <c r="M58" i="8"/>
  <c r="G145" i="8"/>
  <c r="G146" i="8"/>
  <c r="G147" i="8"/>
  <c r="G148" i="8"/>
  <c r="M99" i="8" l="1"/>
  <c r="M188" i="8" l="1"/>
  <c r="M189" i="8"/>
  <c r="M187" i="8"/>
  <c r="M192" i="13" l="1"/>
  <c r="M99" i="12"/>
  <c r="M96" i="12"/>
  <c r="M95" i="12"/>
  <c r="M96" i="11"/>
  <c r="M95" i="11"/>
  <c r="M96" i="10"/>
  <c r="M95" i="10"/>
  <c r="M96" i="9"/>
  <c r="M95" i="9"/>
  <c r="M95" i="2"/>
  <c r="M96" i="1"/>
  <c r="M95" i="1"/>
  <c r="M96" i="7"/>
  <c r="M95" i="7"/>
  <c r="F175" i="8"/>
  <c r="D175" i="8"/>
  <c r="M96" i="8"/>
  <c r="M95" i="8"/>
  <c r="E92" i="8"/>
  <c r="F92" i="8"/>
  <c r="G92" i="8"/>
  <c r="H92" i="8"/>
  <c r="I92" i="8"/>
  <c r="J92" i="8"/>
  <c r="K92" i="8"/>
  <c r="L92" i="8"/>
  <c r="M92" i="8"/>
  <c r="D92" i="8"/>
  <c r="N90" i="8"/>
  <c r="N91" i="8"/>
  <c r="N89" i="8"/>
  <c r="N70" i="8"/>
  <c r="M64" i="8"/>
  <c r="E20" i="8"/>
  <c r="F59" i="8"/>
  <c r="F20" i="8" s="1"/>
  <c r="F21" i="8" s="1"/>
  <c r="G59" i="8"/>
  <c r="G20" i="8" s="1"/>
  <c r="G21" i="8" s="1"/>
  <c r="H59" i="8"/>
  <c r="H20" i="8" s="1"/>
  <c r="H21" i="8" s="1"/>
  <c r="I59" i="8"/>
  <c r="I20" i="8" s="1"/>
  <c r="I21" i="8" s="1"/>
  <c r="J59" i="8"/>
  <c r="J20" i="8" s="1"/>
  <c r="J21" i="8" s="1"/>
  <c r="K59" i="8"/>
  <c r="K20" i="8" s="1"/>
  <c r="K21" i="8" s="1"/>
  <c r="L59" i="8"/>
  <c r="L20" i="8" s="1"/>
  <c r="L21" i="8" s="1"/>
  <c r="D59" i="8"/>
  <c r="D20" i="8" s="1"/>
  <c r="D21" i="8" s="1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31" i="8"/>
  <c r="M17" i="8"/>
  <c r="M18" i="8"/>
  <c r="M19" i="8"/>
  <c r="M16" i="8"/>
  <c r="M7" i="8"/>
  <c r="M8" i="8"/>
  <c r="M9" i="8"/>
  <c r="M10" i="8"/>
  <c r="M6" i="8"/>
  <c r="E11" i="8"/>
  <c r="F11" i="8"/>
  <c r="G11" i="8"/>
  <c r="H11" i="8"/>
  <c r="I11" i="8"/>
  <c r="J11" i="8"/>
  <c r="K11" i="8"/>
  <c r="L11" i="8"/>
  <c r="D11" i="8"/>
  <c r="E92" i="7"/>
  <c r="F92" i="7"/>
  <c r="G92" i="7"/>
  <c r="I92" i="7"/>
  <c r="J92" i="7"/>
  <c r="K92" i="7"/>
  <c r="L92" i="7"/>
  <c r="M92" i="7"/>
  <c r="D92" i="7"/>
  <c r="D175" i="7"/>
  <c r="F175" i="7"/>
  <c r="N92" i="8" l="1"/>
  <c r="M59" i="8"/>
  <c r="M11" i="8"/>
  <c r="M20" i="8"/>
  <c r="E21" i="8"/>
  <c r="M21" i="8" s="1"/>
  <c r="G145" i="7" l="1"/>
  <c r="G146" i="7"/>
  <c r="G147" i="7"/>
  <c r="G148" i="7"/>
  <c r="G144" i="7"/>
  <c r="M99" i="7" l="1"/>
  <c r="F175" i="6" l="1"/>
  <c r="F175" i="5"/>
  <c r="F175" i="4"/>
  <c r="D175" i="5"/>
  <c r="M95" i="6" l="1"/>
  <c r="N91" i="6"/>
  <c r="N90" i="6"/>
  <c r="N89" i="6"/>
  <c r="M96" i="6"/>
  <c r="E92" i="6" l="1"/>
  <c r="F92" i="6"/>
  <c r="G92" i="6"/>
  <c r="H92" i="6"/>
  <c r="I92" i="6"/>
  <c r="J92" i="6"/>
  <c r="K92" i="6"/>
  <c r="L92" i="6"/>
  <c r="M92" i="6"/>
  <c r="D92" i="6"/>
  <c r="N92" i="6" l="1"/>
  <c r="M99" i="6"/>
  <c r="G145" i="6" l="1"/>
  <c r="G146" i="6"/>
  <c r="G147" i="6"/>
  <c r="G148" i="6"/>
  <c r="G144" i="6"/>
  <c r="M192" i="6" l="1"/>
  <c r="M189" i="6"/>
  <c r="M188" i="6"/>
  <c r="M187" i="6"/>
  <c r="M99" i="1" l="1"/>
  <c r="M99" i="5"/>
  <c r="M96" i="5"/>
  <c r="G145" i="3" l="1"/>
  <c r="G146" i="3"/>
  <c r="G147" i="3"/>
  <c r="G148" i="3"/>
  <c r="G144" i="3"/>
  <c r="G145" i="1"/>
  <c r="G146" i="1"/>
  <c r="G147" i="1"/>
  <c r="G148" i="1"/>
  <c r="G144" i="1"/>
  <c r="G145" i="4"/>
  <c r="G146" i="4"/>
  <c r="G147" i="4"/>
  <c r="G148" i="4"/>
  <c r="G144" i="4"/>
  <c r="G146" i="5"/>
  <c r="G145" i="5"/>
  <c r="G144" i="5"/>
  <c r="G148" i="5"/>
  <c r="G147" i="5"/>
  <c r="M95" i="5" l="1"/>
  <c r="M189" i="3"/>
  <c r="M188" i="3"/>
  <c r="M187" i="3"/>
  <c r="M189" i="2"/>
  <c r="M188" i="2"/>
  <c r="M187" i="2"/>
  <c r="M189" i="1"/>
  <c r="M188" i="1"/>
  <c r="M187" i="1"/>
  <c r="M189" i="5"/>
  <c r="M188" i="5"/>
  <c r="M187" i="5"/>
  <c r="M192" i="5"/>
  <c r="M190" i="2" l="1"/>
  <c r="M190" i="3"/>
  <c r="M190" i="5"/>
  <c r="M190" i="1"/>
  <c r="M189" i="4" l="1"/>
  <c r="M188" i="4"/>
  <c r="M187" i="4"/>
  <c r="M99" i="4"/>
  <c r="M96" i="4"/>
  <c r="M96" i="13" s="1"/>
  <c r="M95" i="4"/>
  <c r="N90" i="3"/>
  <c r="N91" i="3"/>
  <c r="M192" i="2"/>
  <c r="M96" i="2"/>
  <c r="M97" i="2" s="1"/>
  <c r="M99" i="2"/>
  <c r="M192" i="1"/>
  <c r="D175" i="4"/>
  <c r="E92" i="4"/>
  <c r="F92" i="4"/>
  <c r="G92" i="4"/>
  <c r="H92" i="4"/>
  <c r="I92" i="4"/>
  <c r="J92" i="4"/>
  <c r="K92" i="4"/>
  <c r="L92" i="4"/>
  <c r="M92" i="4"/>
  <c r="F175" i="3"/>
  <c r="D175" i="3"/>
  <c r="E92" i="3"/>
  <c r="F92" i="3"/>
  <c r="G92" i="3"/>
  <c r="H92" i="3"/>
  <c r="I92" i="3"/>
  <c r="J92" i="3"/>
  <c r="K92" i="3"/>
  <c r="L92" i="3"/>
  <c r="M92" i="3"/>
  <c r="E92" i="1"/>
  <c r="F92" i="1"/>
  <c r="G92" i="1"/>
  <c r="H92" i="1"/>
  <c r="I92" i="1"/>
  <c r="J92" i="1"/>
  <c r="K92" i="1"/>
  <c r="L92" i="1"/>
  <c r="M92" i="1"/>
  <c r="F175" i="1"/>
  <c r="D175" i="1"/>
  <c r="E92" i="2"/>
  <c r="F92" i="2"/>
  <c r="G92" i="2"/>
  <c r="H92" i="2"/>
  <c r="I92" i="2"/>
  <c r="J92" i="2"/>
  <c r="K92" i="2"/>
  <c r="L92" i="2"/>
  <c r="M92" i="2"/>
  <c r="F175" i="2"/>
  <c r="D175" i="2"/>
  <c r="G146" i="2"/>
  <c r="M99" i="3"/>
  <c r="M97" i="4" l="1"/>
  <c r="N89" i="4"/>
  <c r="F153" i="13" l="1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52" i="13"/>
  <c r="K188" i="13"/>
  <c r="K189" i="13"/>
  <c r="H189" i="13"/>
  <c r="I189" i="13"/>
  <c r="D189" i="13"/>
  <c r="E189" i="13"/>
  <c r="F189" i="13"/>
  <c r="G188" i="13"/>
  <c r="G189" i="13"/>
  <c r="E187" i="13"/>
  <c r="F187" i="13"/>
  <c r="G187" i="13"/>
  <c r="H187" i="13"/>
  <c r="I187" i="13"/>
  <c r="J187" i="13"/>
  <c r="K187" i="13"/>
  <c r="L187" i="13"/>
  <c r="D187" i="13"/>
  <c r="F181" i="13"/>
  <c r="F182" i="13"/>
  <c r="F183" i="13"/>
  <c r="E182" i="13"/>
  <c r="E183" i="13"/>
  <c r="E181" i="13"/>
  <c r="F178" i="13"/>
  <c r="G178" i="13"/>
  <c r="E178" i="13"/>
  <c r="E148" i="13"/>
  <c r="G148" i="13" s="1"/>
  <c r="E147" i="13"/>
  <c r="F144" i="13"/>
  <c r="F146" i="13"/>
  <c r="F147" i="13"/>
  <c r="E145" i="13"/>
  <c r="G145" i="13" s="1"/>
  <c r="E146" i="13"/>
  <c r="E144" i="13"/>
  <c r="E134" i="13"/>
  <c r="E135" i="13"/>
  <c r="E136" i="13"/>
  <c r="E138" i="13"/>
  <c r="E123" i="13"/>
  <c r="F115" i="13"/>
  <c r="F116" i="13"/>
  <c r="F114" i="13"/>
  <c r="E108" i="13"/>
  <c r="E109" i="13"/>
  <c r="E110" i="13"/>
  <c r="E111" i="13"/>
  <c r="E107" i="13"/>
  <c r="E104" i="13"/>
  <c r="F104" i="13"/>
  <c r="G104" i="13"/>
  <c r="H104" i="13"/>
  <c r="I104" i="13"/>
  <c r="J104" i="13"/>
  <c r="K104" i="13"/>
  <c r="L104" i="13"/>
  <c r="M104" i="13"/>
  <c r="E99" i="13"/>
  <c r="F99" i="13"/>
  <c r="G99" i="13"/>
  <c r="H99" i="13"/>
  <c r="I99" i="13"/>
  <c r="J99" i="13"/>
  <c r="K99" i="13"/>
  <c r="L99" i="13"/>
  <c r="D99" i="13"/>
  <c r="E95" i="13"/>
  <c r="F95" i="13"/>
  <c r="G95" i="13"/>
  <c r="H95" i="13"/>
  <c r="I95" i="13"/>
  <c r="J95" i="13"/>
  <c r="K95" i="13"/>
  <c r="L95" i="13"/>
  <c r="D96" i="13"/>
  <c r="D95" i="13"/>
  <c r="E90" i="13"/>
  <c r="F90" i="13"/>
  <c r="G90" i="13"/>
  <c r="H90" i="13"/>
  <c r="I90" i="13"/>
  <c r="J90" i="13"/>
  <c r="K90" i="13"/>
  <c r="L90" i="13"/>
  <c r="M90" i="13"/>
  <c r="E91" i="13"/>
  <c r="F91" i="13"/>
  <c r="G91" i="13"/>
  <c r="H91" i="13"/>
  <c r="I91" i="13"/>
  <c r="J91" i="13"/>
  <c r="K91" i="13"/>
  <c r="L91" i="13"/>
  <c r="D90" i="13"/>
  <c r="D91" i="13"/>
  <c r="E89" i="13"/>
  <c r="F89" i="13"/>
  <c r="G89" i="13"/>
  <c r="H89" i="13"/>
  <c r="I89" i="13"/>
  <c r="J89" i="13"/>
  <c r="K89" i="13"/>
  <c r="L89" i="13"/>
  <c r="D89" i="13"/>
  <c r="F85" i="13"/>
  <c r="F84" i="13"/>
  <c r="E82" i="13"/>
  <c r="E81" i="13"/>
  <c r="D79" i="13"/>
  <c r="D78" i="13"/>
  <c r="D24" i="13"/>
  <c r="D23" i="13"/>
  <c r="D17" i="13"/>
  <c r="D18" i="13"/>
  <c r="D16" i="13"/>
  <c r="D32" i="13"/>
  <c r="F32" i="13"/>
  <c r="G32" i="13"/>
  <c r="H32" i="13"/>
  <c r="I32" i="13"/>
  <c r="J32" i="13"/>
  <c r="K32" i="13"/>
  <c r="L32" i="13"/>
  <c r="D33" i="13"/>
  <c r="F33" i="13"/>
  <c r="G33" i="13"/>
  <c r="H33" i="13"/>
  <c r="I33" i="13"/>
  <c r="J33" i="13"/>
  <c r="K33" i="13"/>
  <c r="L33" i="13"/>
  <c r="D34" i="13"/>
  <c r="F34" i="13"/>
  <c r="G34" i="13"/>
  <c r="H34" i="13"/>
  <c r="I34" i="13"/>
  <c r="J34" i="13"/>
  <c r="K34" i="13"/>
  <c r="L34" i="13"/>
  <c r="D35" i="13"/>
  <c r="F35" i="13"/>
  <c r="G35" i="13"/>
  <c r="H35" i="13"/>
  <c r="I35" i="13"/>
  <c r="J35" i="13"/>
  <c r="K35" i="13"/>
  <c r="L35" i="13"/>
  <c r="D36" i="13"/>
  <c r="F36" i="13"/>
  <c r="G36" i="13"/>
  <c r="H36" i="13"/>
  <c r="I36" i="13"/>
  <c r="J36" i="13"/>
  <c r="K36" i="13"/>
  <c r="L36" i="13"/>
  <c r="D37" i="13"/>
  <c r="F37" i="13"/>
  <c r="G37" i="13"/>
  <c r="H37" i="13"/>
  <c r="I37" i="13"/>
  <c r="J37" i="13"/>
  <c r="K37" i="13"/>
  <c r="L37" i="13"/>
  <c r="D38" i="13"/>
  <c r="F38" i="13"/>
  <c r="G38" i="13"/>
  <c r="H38" i="13"/>
  <c r="I38" i="13"/>
  <c r="J38" i="13"/>
  <c r="K38" i="13"/>
  <c r="L38" i="13"/>
  <c r="D39" i="13"/>
  <c r="F39" i="13"/>
  <c r="G39" i="13"/>
  <c r="H39" i="13"/>
  <c r="I39" i="13"/>
  <c r="J39" i="13"/>
  <c r="K39" i="13"/>
  <c r="L39" i="13"/>
  <c r="D40" i="13"/>
  <c r="F40" i="13"/>
  <c r="G40" i="13"/>
  <c r="H40" i="13"/>
  <c r="I40" i="13"/>
  <c r="J40" i="13"/>
  <c r="K40" i="13"/>
  <c r="L40" i="13"/>
  <c r="D41" i="13"/>
  <c r="F41" i="13"/>
  <c r="G41" i="13"/>
  <c r="H41" i="13"/>
  <c r="I41" i="13"/>
  <c r="J41" i="13"/>
  <c r="K41" i="13"/>
  <c r="L41" i="13"/>
  <c r="D42" i="13"/>
  <c r="F42" i="13"/>
  <c r="G42" i="13"/>
  <c r="H42" i="13"/>
  <c r="I42" i="13"/>
  <c r="J42" i="13"/>
  <c r="K42" i="13"/>
  <c r="L42" i="13"/>
  <c r="D43" i="13"/>
  <c r="F43" i="13"/>
  <c r="G43" i="13"/>
  <c r="H43" i="13"/>
  <c r="I43" i="13"/>
  <c r="J43" i="13"/>
  <c r="K43" i="13"/>
  <c r="L43" i="13"/>
  <c r="D44" i="13"/>
  <c r="F44" i="13"/>
  <c r="G44" i="13"/>
  <c r="H44" i="13"/>
  <c r="I44" i="13"/>
  <c r="J44" i="13"/>
  <c r="K44" i="13"/>
  <c r="L44" i="13"/>
  <c r="D45" i="13"/>
  <c r="F45" i="13"/>
  <c r="G45" i="13"/>
  <c r="H45" i="13"/>
  <c r="I45" i="13"/>
  <c r="J45" i="13"/>
  <c r="K45" i="13"/>
  <c r="L45" i="13"/>
  <c r="D46" i="13"/>
  <c r="F46" i="13"/>
  <c r="G46" i="13"/>
  <c r="H46" i="13"/>
  <c r="I46" i="13"/>
  <c r="J46" i="13"/>
  <c r="K46" i="13"/>
  <c r="L46" i="13"/>
  <c r="D47" i="13"/>
  <c r="F47" i="13"/>
  <c r="G47" i="13"/>
  <c r="H47" i="13"/>
  <c r="I47" i="13"/>
  <c r="J47" i="13"/>
  <c r="K47" i="13"/>
  <c r="L47" i="13"/>
  <c r="D48" i="13"/>
  <c r="F48" i="13"/>
  <c r="G48" i="13"/>
  <c r="H48" i="13"/>
  <c r="I48" i="13"/>
  <c r="J48" i="13"/>
  <c r="K48" i="13"/>
  <c r="L48" i="13"/>
  <c r="D49" i="13"/>
  <c r="F49" i="13"/>
  <c r="G49" i="13"/>
  <c r="H49" i="13"/>
  <c r="I49" i="13"/>
  <c r="J49" i="13"/>
  <c r="K49" i="13"/>
  <c r="L49" i="13"/>
  <c r="D50" i="13"/>
  <c r="F50" i="13"/>
  <c r="G50" i="13"/>
  <c r="H50" i="13"/>
  <c r="I50" i="13"/>
  <c r="J50" i="13"/>
  <c r="K50" i="13"/>
  <c r="L50" i="13"/>
  <c r="D51" i="13"/>
  <c r="F51" i="13"/>
  <c r="G51" i="13"/>
  <c r="H51" i="13"/>
  <c r="I51" i="13"/>
  <c r="J51" i="13"/>
  <c r="K51" i="13"/>
  <c r="L51" i="13"/>
  <c r="D52" i="13"/>
  <c r="F52" i="13"/>
  <c r="G52" i="13"/>
  <c r="H52" i="13"/>
  <c r="I52" i="13"/>
  <c r="J52" i="13"/>
  <c r="K52" i="13"/>
  <c r="L52" i="13"/>
  <c r="D53" i="13"/>
  <c r="F53" i="13"/>
  <c r="G53" i="13"/>
  <c r="H53" i="13"/>
  <c r="I53" i="13"/>
  <c r="J53" i="13"/>
  <c r="K53" i="13"/>
  <c r="L53" i="13"/>
  <c r="D54" i="13"/>
  <c r="F54" i="13"/>
  <c r="G54" i="13"/>
  <c r="H54" i="13"/>
  <c r="I54" i="13"/>
  <c r="J54" i="13"/>
  <c r="K54" i="13"/>
  <c r="L54" i="13"/>
  <c r="D55" i="13"/>
  <c r="F55" i="13"/>
  <c r="G55" i="13"/>
  <c r="H55" i="13"/>
  <c r="I55" i="13"/>
  <c r="J55" i="13"/>
  <c r="K55" i="13"/>
  <c r="L55" i="13"/>
  <c r="D56" i="13"/>
  <c r="F56" i="13"/>
  <c r="G56" i="13"/>
  <c r="H56" i="13"/>
  <c r="I56" i="13"/>
  <c r="J56" i="13"/>
  <c r="K56" i="13"/>
  <c r="L56" i="13"/>
  <c r="D57" i="13"/>
  <c r="F57" i="13"/>
  <c r="G57" i="13"/>
  <c r="H57" i="13"/>
  <c r="I57" i="13"/>
  <c r="J57" i="13"/>
  <c r="K57" i="13"/>
  <c r="L57" i="13"/>
  <c r="D58" i="13"/>
  <c r="F58" i="13"/>
  <c r="G58" i="13"/>
  <c r="H58" i="13"/>
  <c r="I58" i="13"/>
  <c r="J58" i="13"/>
  <c r="K58" i="13"/>
  <c r="L58" i="13"/>
  <c r="D31" i="13"/>
  <c r="F31" i="13"/>
  <c r="G31" i="13"/>
  <c r="H31" i="13"/>
  <c r="I31" i="13"/>
  <c r="J31" i="13"/>
  <c r="K31" i="13"/>
  <c r="L31" i="13"/>
  <c r="E27" i="13"/>
  <c r="E26" i="13"/>
  <c r="D175" i="13" l="1"/>
  <c r="F175" i="13"/>
  <c r="N90" i="13"/>
  <c r="N89" i="13"/>
  <c r="N91" i="13"/>
  <c r="M188" i="13"/>
  <c r="G146" i="13"/>
  <c r="G144" i="13"/>
  <c r="M187" i="13"/>
  <c r="G147" i="13"/>
  <c r="M99" i="13"/>
  <c r="M95" i="13"/>
  <c r="M57" i="13"/>
  <c r="M53" i="13"/>
  <c r="M49" i="13"/>
  <c r="M45" i="13"/>
  <c r="M41" i="13"/>
  <c r="M37" i="13"/>
  <c r="M33" i="13"/>
  <c r="M18" i="13"/>
  <c r="M56" i="13"/>
  <c r="M52" i="13"/>
  <c r="M48" i="13"/>
  <c r="M44" i="13"/>
  <c r="M40" i="13"/>
  <c r="M36" i="13"/>
  <c r="M32" i="13"/>
  <c r="M17" i="13"/>
  <c r="M31" i="13"/>
  <c r="M55" i="13"/>
  <c r="M51" i="13"/>
  <c r="M47" i="13"/>
  <c r="M43" i="13"/>
  <c r="M39" i="13"/>
  <c r="M35" i="13"/>
  <c r="M16" i="13"/>
  <c r="M23" i="13"/>
  <c r="M58" i="13"/>
  <c r="M54" i="13"/>
  <c r="M50" i="13"/>
  <c r="M46" i="13"/>
  <c r="M42" i="13"/>
  <c r="M38" i="13"/>
  <c r="M34" i="13"/>
  <c r="M24" i="13"/>
  <c r="M189" i="13"/>
  <c r="L190" i="13" l="1"/>
  <c r="K190" i="13"/>
  <c r="J190" i="13"/>
  <c r="I190" i="13"/>
  <c r="H190" i="13"/>
  <c r="G190" i="13"/>
  <c r="F190" i="13"/>
  <c r="E190" i="13"/>
  <c r="D190" i="13"/>
  <c r="N104" i="13"/>
  <c r="L97" i="13"/>
  <c r="K97" i="13"/>
  <c r="J97" i="13"/>
  <c r="I97" i="13"/>
  <c r="H97" i="13"/>
  <c r="G97" i="13"/>
  <c r="F97" i="13"/>
  <c r="E97" i="13"/>
  <c r="D97" i="13"/>
  <c r="M92" i="13"/>
  <c r="L92" i="13"/>
  <c r="K92" i="13"/>
  <c r="J92" i="13"/>
  <c r="I92" i="13"/>
  <c r="H92" i="13"/>
  <c r="G92" i="13"/>
  <c r="F92" i="13"/>
  <c r="E92" i="13"/>
  <c r="D92" i="13"/>
  <c r="L59" i="13"/>
  <c r="K59" i="13"/>
  <c r="J59" i="13"/>
  <c r="I59" i="13"/>
  <c r="H59" i="13"/>
  <c r="G59" i="13"/>
  <c r="F59" i="13"/>
  <c r="D59" i="13"/>
  <c r="L11" i="13"/>
  <c r="K11" i="13"/>
  <c r="J11" i="13"/>
  <c r="I11" i="13"/>
  <c r="H11" i="13"/>
  <c r="G11" i="13"/>
  <c r="F11" i="13"/>
  <c r="E11" i="13"/>
  <c r="D11" i="13"/>
  <c r="L190" i="12"/>
  <c r="K190" i="12"/>
  <c r="J190" i="12"/>
  <c r="I190" i="12"/>
  <c r="H190" i="12"/>
  <c r="G190" i="12"/>
  <c r="F190" i="12"/>
  <c r="E190" i="12"/>
  <c r="D190" i="12"/>
  <c r="N104" i="12"/>
  <c r="L97" i="12"/>
  <c r="K97" i="12"/>
  <c r="J97" i="12"/>
  <c r="I97" i="12"/>
  <c r="H97" i="12"/>
  <c r="G97" i="12"/>
  <c r="F97" i="12"/>
  <c r="E97" i="12"/>
  <c r="D97" i="12"/>
  <c r="L92" i="12"/>
  <c r="K92" i="12"/>
  <c r="J92" i="12"/>
  <c r="I92" i="12"/>
  <c r="H92" i="12"/>
  <c r="G92" i="12"/>
  <c r="F92" i="12"/>
  <c r="E92" i="12"/>
  <c r="D92" i="12"/>
  <c r="N90" i="12"/>
  <c r="N89" i="12"/>
  <c r="N70" i="12"/>
  <c r="M64" i="12"/>
  <c r="L59" i="12"/>
  <c r="K59" i="12"/>
  <c r="J59" i="12"/>
  <c r="I59" i="12"/>
  <c r="H59" i="12"/>
  <c r="G59" i="12"/>
  <c r="F59" i="12"/>
  <c r="F20" i="12" s="1"/>
  <c r="D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24" i="12"/>
  <c r="M23" i="12"/>
  <c r="M19" i="12"/>
  <c r="M18" i="12"/>
  <c r="M17" i="12"/>
  <c r="M16" i="12"/>
  <c r="L11" i="12"/>
  <c r="K11" i="12"/>
  <c r="J11" i="12"/>
  <c r="I11" i="12"/>
  <c r="H11" i="12"/>
  <c r="G11" i="12"/>
  <c r="F11" i="12"/>
  <c r="E11" i="12"/>
  <c r="D11" i="12"/>
  <c r="M10" i="12"/>
  <c r="M9" i="12"/>
  <c r="M8" i="12"/>
  <c r="M7" i="12"/>
  <c r="M6" i="12"/>
  <c r="L190" i="11"/>
  <c r="K190" i="11"/>
  <c r="J190" i="11"/>
  <c r="I190" i="11"/>
  <c r="H190" i="11"/>
  <c r="G190" i="11"/>
  <c r="F190" i="11"/>
  <c r="E190" i="11"/>
  <c r="D190" i="11"/>
  <c r="D175" i="11"/>
  <c r="N104" i="11"/>
  <c r="L97" i="11"/>
  <c r="K97" i="11"/>
  <c r="J97" i="11"/>
  <c r="I97" i="11"/>
  <c r="H97" i="11"/>
  <c r="G97" i="11"/>
  <c r="F97" i="11"/>
  <c r="E97" i="11"/>
  <c r="D97" i="11"/>
  <c r="M92" i="11"/>
  <c r="L92" i="11"/>
  <c r="K92" i="11"/>
  <c r="J92" i="11"/>
  <c r="I92" i="11"/>
  <c r="H92" i="11"/>
  <c r="G92" i="11"/>
  <c r="F92" i="11"/>
  <c r="E92" i="11"/>
  <c r="D92" i="11"/>
  <c r="N90" i="11"/>
  <c r="N89" i="11"/>
  <c r="M64" i="11"/>
  <c r="L59" i="11"/>
  <c r="L20" i="11" s="1"/>
  <c r="L21" i="11" s="1"/>
  <c r="K59" i="11"/>
  <c r="K20" i="11" s="1"/>
  <c r="K21" i="11" s="1"/>
  <c r="J59" i="11"/>
  <c r="J20" i="11" s="1"/>
  <c r="J21" i="11" s="1"/>
  <c r="I59" i="11"/>
  <c r="I20" i="11" s="1"/>
  <c r="I21" i="11" s="1"/>
  <c r="H59" i="11"/>
  <c r="H20" i="11" s="1"/>
  <c r="H21" i="11" s="1"/>
  <c r="G59" i="11"/>
  <c r="G20" i="11" s="1"/>
  <c r="G21" i="11" s="1"/>
  <c r="F59" i="11"/>
  <c r="F20" i="11" s="1"/>
  <c r="E20" i="11"/>
  <c r="E21" i="11" s="1"/>
  <c r="D59" i="11"/>
  <c r="M24" i="11"/>
  <c r="M23" i="11"/>
  <c r="M19" i="11"/>
  <c r="M18" i="11"/>
  <c r="M17" i="11"/>
  <c r="M16" i="11"/>
  <c r="L11" i="11"/>
  <c r="K11" i="11"/>
  <c r="J11" i="11"/>
  <c r="I11" i="11"/>
  <c r="H11" i="11"/>
  <c r="G11" i="11"/>
  <c r="F11" i="11"/>
  <c r="E11" i="11"/>
  <c r="D11" i="11"/>
  <c r="M10" i="11"/>
  <c r="M9" i="11"/>
  <c r="M8" i="11"/>
  <c r="M7" i="11"/>
  <c r="M6" i="11"/>
  <c r="L190" i="10"/>
  <c r="K190" i="10"/>
  <c r="J190" i="10"/>
  <c r="I190" i="10"/>
  <c r="H190" i="10"/>
  <c r="G190" i="10"/>
  <c r="F190" i="10"/>
  <c r="E190" i="10"/>
  <c r="D190" i="10"/>
  <c r="N104" i="10"/>
  <c r="L97" i="10"/>
  <c r="K97" i="10"/>
  <c r="J97" i="10"/>
  <c r="I97" i="10"/>
  <c r="H97" i="10"/>
  <c r="G97" i="10"/>
  <c r="F97" i="10"/>
  <c r="E97" i="10"/>
  <c r="D97" i="10"/>
  <c r="M92" i="10"/>
  <c r="L92" i="10"/>
  <c r="K92" i="10"/>
  <c r="J92" i="10"/>
  <c r="I92" i="10"/>
  <c r="H92" i="10"/>
  <c r="G92" i="10"/>
  <c r="F92" i="10"/>
  <c r="E92" i="10"/>
  <c r="D92" i="10"/>
  <c r="N90" i="10"/>
  <c r="N89" i="10"/>
  <c r="N70" i="10"/>
  <c r="M64" i="10"/>
  <c r="L59" i="10"/>
  <c r="L20" i="10" s="1"/>
  <c r="L21" i="10" s="1"/>
  <c r="K59" i="10"/>
  <c r="K20" i="10" s="1"/>
  <c r="K21" i="10" s="1"/>
  <c r="J59" i="10"/>
  <c r="J20" i="10" s="1"/>
  <c r="J21" i="10" s="1"/>
  <c r="I59" i="10"/>
  <c r="I20" i="10" s="1"/>
  <c r="I21" i="10" s="1"/>
  <c r="H59" i="10"/>
  <c r="H20" i="10" s="1"/>
  <c r="H21" i="10" s="1"/>
  <c r="G59" i="10"/>
  <c r="G20" i="10" s="1"/>
  <c r="G21" i="10" s="1"/>
  <c r="F59" i="10"/>
  <c r="F20" i="10" s="1"/>
  <c r="E20" i="10"/>
  <c r="E21" i="10" s="1"/>
  <c r="D59" i="10"/>
  <c r="D20" i="10" s="1"/>
  <c r="D21" i="10" s="1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24" i="10"/>
  <c r="M23" i="10"/>
  <c r="M19" i="10"/>
  <c r="M18" i="10"/>
  <c r="M17" i="10"/>
  <c r="M16" i="10"/>
  <c r="L11" i="10"/>
  <c r="K11" i="10"/>
  <c r="J11" i="10"/>
  <c r="I11" i="10"/>
  <c r="H11" i="10"/>
  <c r="G11" i="10"/>
  <c r="F11" i="10"/>
  <c r="E11" i="10"/>
  <c r="D11" i="10"/>
  <c r="M10" i="10"/>
  <c r="M9" i="10"/>
  <c r="M8" i="10"/>
  <c r="M7" i="10"/>
  <c r="M6" i="10"/>
  <c r="L190" i="9"/>
  <c r="K190" i="9"/>
  <c r="J190" i="9"/>
  <c r="I190" i="9"/>
  <c r="H190" i="9"/>
  <c r="G190" i="9"/>
  <c r="F190" i="9"/>
  <c r="E190" i="9"/>
  <c r="D190" i="9"/>
  <c r="F175" i="9"/>
  <c r="D175" i="9"/>
  <c r="N104" i="9"/>
  <c r="L97" i="9"/>
  <c r="K97" i="9"/>
  <c r="J97" i="9"/>
  <c r="I97" i="9"/>
  <c r="H97" i="9"/>
  <c r="G97" i="9"/>
  <c r="F97" i="9"/>
  <c r="E97" i="9"/>
  <c r="D97" i="9"/>
  <c r="L92" i="9"/>
  <c r="K92" i="9"/>
  <c r="J92" i="9"/>
  <c r="I92" i="9"/>
  <c r="H92" i="9"/>
  <c r="G92" i="9"/>
  <c r="F92" i="9"/>
  <c r="E92" i="9"/>
  <c r="D92" i="9"/>
  <c r="N91" i="9"/>
  <c r="N90" i="9"/>
  <c r="N70" i="9"/>
  <c r="M64" i="9"/>
  <c r="L59" i="9"/>
  <c r="L20" i="9" s="1"/>
  <c r="L21" i="9" s="1"/>
  <c r="K59" i="9"/>
  <c r="K20" i="9" s="1"/>
  <c r="K21" i="9" s="1"/>
  <c r="J59" i="9"/>
  <c r="J20" i="9" s="1"/>
  <c r="J21" i="9" s="1"/>
  <c r="I59" i="9"/>
  <c r="I20" i="9" s="1"/>
  <c r="I21" i="9" s="1"/>
  <c r="H59" i="9"/>
  <c r="H20" i="9" s="1"/>
  <c r="H21" i="9" s="1"/>
  <c r="G59" i="9"/>
  <c r="G20" i="9" s="1"/>
  <c r="G21" i="9" s="1"/>
  <c r="F59" i="9"/>
  <c r="F20" i="9" s="1"/>
  <c r="F21" i="9" s="1"/>
  <c r="E20" i="9"/>
  <c r="E21" i="9" s="1"/>
  <c r="D59" i="9"/>
  <c r="D20" i="9" s="1"/>
  <c r="D21" i="9" s="1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24" i="9"/>
  <c r="M23" i="9"/>
  <c r="M19" i="9"/>
  <c r="M18" i="9"/>
  <c r="M17" i="9"/>
  <c r="M16" i="9"/>
  <c r="L11" i="9"/>
  <c r="K11" i="9"/>
  <c r="J11" i="9"/>
  <c r="I11" i="9"/>
  <c r="H11" i="9"/>
  <c r="G11" i="9"/>
  <c r="F11" i="9"/>
  <c r="E11" i="9"/>
  <c r="D11" i="9"/>
  <c r="M10" i="9"/>
  <c r="M9" i="9"/>
  <c r="M8" i="9"/>
  <c r="M7" i="9"/>
  <c r="M6" i="9"/>
  <c r="L190" i="8"/>
  <c r="K190" i="8"/>
  <c r="J190" i="8"/>
  <c r="I190" i="8"/>
  <c r="H190" i="8"/>
  <c r="G190" i="8"/>
  <c r="F190" i="8"/>
  <c r="E190" i="8"/>
  <c r="D190" i="8"/>
  <c r="N104" i="8"/>
  <c r="L97" i="8"/>
  <c r="K97" i="8"/>
  <c r="J97" i="8"/>
  <c r="H97" i="8"/>
  <c r="G97" i="8"/>
  <c r="F97" i="8"/>
  <c r="E97" i="8"/>
  <c r="D97" i="8"/>
  <c r="M24" i="8"/>
  <c r="M23" i="8"/>
  <c r="L190" i="7"/>
  <c r="K190" i="7"/>
  <c r="J190" i="7"/>
  <c r="I190" i="7"/>
  <c r="H190" i="7"/>
  <c r="G190" i="7"/>
  <c r="F190" i="7"/>
  <c r="E190" i="7"/>
  <c r="D190" i="7"/>
  <c r="N104" i="7"/>
  <c r="L97" i="7"/>
  <c r="K97" i="7"/>
  <c r="J97" i="7"/>
  <c r="I97" i="7"/>
  <c r="H97" i="7"/>
  <c r="G97" i="7"/>
  <c r="F97" i="7"/>
  <c r="E97" i="7"/>
  <c r="D97" i="7"/>
  <c r="N90" i="7"/>
  <c r="N89" i="7"/>
  <c r="N70" i="7"/>
  <c r="M64" i="7"/>
  <c r="L59" i="7"/>
  <c r="L20" i="7" s="1"/>
  <c r="L21" i="7" s="1"/>
  <c r="K59" i="7"/>
  <c r="K20" i="7" s="1"/>
  <c r="K21" i="7" s="1"/>
  <c r="J59" i="7"/>
  <c r="J20" i="7" s="1"/>
  <c r="J21" i="7" s="1"/>
  <c r="I59" i="7"/>
  <c r="I20" i="7" s="1"/>
  <c r="I21" i="7" s="1"/>
  <c r="H59" i="7"/>
  <c r="H20" i="7" s="1"/>
  <c r="H21" i="7" s="1"/>
  <c r="G59" i="7"/>
  <c r="G20" i="7" s="1"/>
  <c r="G21" i="7" s="1"/>
  <c r="F59" i="7"/>
  <c r="F20" i="7" s="1"/>
  <c r="E20" i="7"/>
  <c r="E21" i="7" s="1"/>
  <c r="D59" i="7"/>
  <c r="D20" i="7" s="1"/>
  <c r="D21" i="7" s="1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24" i="7"/>
  <c r="M23" i="7"/>
  <c r="F21" i="7"/>
  <c r="M19" i="7"/>
  <c r="M18" i="7"/>
  <c r="M17" i="7"/>
  <c r="M16" i="7"/>
  <c r="L11" i="7"/>
  <c r="K11" i="7"/>
  <c r="J11" i="7"/>
  <c r="I11" i="7"/>
  <c r="H11" i="7"/>
  <c r="G11" i="7"/>
  <c r="F11" i="7"/>
  <c r="E11" i="7"/>
  <c r="D11" i="7"/>
  <c r="M10" i="7"/>
  <c r="M9" i="7"/>
  <c r="M8" i="7"/>
  <c r="M7" i="7"/>
  <c r="M6" i="7"/>
  <c r="L190" i="6"/>
  <c r="K190" i="6"/>
  <c r="J190" i="6"/>
  <c r="I190" i="6"/>
  <c r="H190" i="6"/>
  <c r="G190" i="6"/>
  <c r="F190" i="6"/>
  <c r="E190" i="6"/>
  <c r="D190" i="6"/>
  <c r="D175" i="6"/>
  <c r="N104" i="6"/>
  <c r="L97" i="6"/>
  <c r="K97" i="6"/>
  <c r="J97" i="6"/>
  <c r="I97" i="6"/>
  <c r="H97" i="6"/>
  <c r="G97" i="6"/>
  <c r="F97" i="6"/>
  <c r="E97" i="6"/>
  <c r="D97" i="6"/>
  <c r="N70" i="6"/>
  <c r="M64" i="6"/>
  <c r="L59" i="6"/>
  <c r="L20" i="6" s="1"/>
  <c r="L21" i="6" s="1"/>
  <c r="K59" i="6"/>
  <c r="K20" i="6" s="1"/>
  <c r="K21" i="6" s="1"/>
  <c r="J59" i="6"/>
  <c r="J20" i="6" s="1"/>
  <c r="J21" i="6" s="1"/>
  <c r="I59" i="6"/>
  <c r="I20" i="6" s="1"/>
  <c r="I21" i="6" s="1"/>
  <c r="H59" i="6"/>
  <c r="H20" i="6" s="1"/>
  <c r="H21" i="6" s="1"/>
  <c r="G59" i="6"/>
  <c r="G20" i="6" s="1"/>
  <c r="G21" i="6" s="1"/>
  <c r="F59" i="6"/>
  <c r="F20" i="6" s="1"/>
  <c r="F21" i="6" s="1"/>
  <c r="E20" i="6"/>
  <c r="E21" i="6" s="1"/>
  <c r="D59" i="6"/>
  <c r="D20" i="6" s="1"/>
  <c r="D21" i="6" s="1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24" i="6"/>
  <c r="M23" i="6"/>
  <c r="M19" i="6"/>
  <c r="M18" i="6"/>
  <c r="M17" i="6"/>
  <c r="M16" i="6"/>
  <c r="L11" i="6"/>
  <c r="K11" i="6"/>
  <c r="J11" i="6"/>
  <c r="I11" i="6"/>
  <c r="H11" i="6"/>
  <c r="G11" i="6"/>
  <c r="F11" i="6"/>
  <c r="E11" i="6"/>
  <c r="D11" i="6"/>
  <c r="M10" i="6"/>
  <c r="M9" i="6"/>
  <c r="M8" i="6"/>
  <c r="M7" i="6"/>
  <c r="M6" i="6"/>
  <c r="L190" i="5"/>
  <c r="K190" i="5"/>
  <c r="J190" i="5"/>
  <c r="I190" i="5"/>
  <c r="H190" i="5"/>
  <c r="G190" i="5"/>
  <c r="F190" i="5"/>
  <c r="E190" i="5"/>
  <c r="D190" i="5"/>
  <c r="N104" i="5"/>
  <c r="L97" i="5"/>
  <c r="K97" i="5"/>
  <c r="J97" i="5"/>
  <c r="I97" i="5"/>
  <c r="H97" i="5"/>
  <c r="G97" i="5"/>
  <c r="F97" i="5"/>
  <c r="E97" i="5"/>
  <c r="D97" i="5"/>
  <c r="M92" i="5"/>
  <c r="K92" i="5"/>
  <c r="J92" i="5"/>
  <c r="I92" i="5"/>
  <c r="H92" i="5"/>
  <c r="G92" i="5"/>
  <c r="F92" i="5"/>
  <c r="E92" i="5"/>
  <c r="D92" i="5"/>
  <c r="N91" i="5"/>
  <c r="N90" i="5"/>
  <c r="N89" i="5"/>
  <c r="N70" i="5"/>
  <c r="M64" i="5"/>
  <c r="L59" i="5"/>
  <c r="L20" i="5" s="1"/>
  <c r="L21" i="5" s="1"/>
  <c r="K59" i="5"/>
  <c r="K20" i="5" s="1"/>
  <c r="J59" i="5"/>
  <c r="J20" i="5" s="1"/>
  <c r="J21" i="5" s="1"/>
  <c r="I59" i="5"/>
  <c r="I20" i="5" s="1"/>
  <c r="I21" i="5" s="1"/>
  <c r="H59" i="5"/>
  <c r="H20" i="5" s="1"/>
  <c r="H21" i="5" s="1"/>
  <c r="G59" i="5"/>
  <c r="G20" i="5" s="1"/>
  <c r="F59" i="5"/>
  <c r="F20" i="5" s="1"/>
  <c r="F21" i="5" s="1"/>
  <c r="E20" i="5"/>
  <c r="E21" i="5" s="1"/>
  <c r="D59" i="5"/>
  <c r="D20" i="5" s="1"/>
  <c r="D21" i="5" s="1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24" i="5"/>
  <c r="M23" i="5"/>
  <c r="K21" i="5"/>
  <c r="M19" i="5"/>
  <c r="M18" i="5"/>
  <c r="M17" i="5"/>
  <c r="M16" i="5"/>
  <c r="L11" i="5"/>
  <c r="K11" i="5"/>
  <c r="J11" i="5"/>
  <c r="I11" i="5"/>
  <c r="H11" i="5"/>
  <c r="G11" i="5"/>
  <c r="F11" i="5"/>
  <c r="E11" i="5"/>
  <c r="D11" i="5"/>
  <c r="M10" i="5"/>
  <c r="M9" i="5"/>
  <c r="M8" i="5"/>
  <c r="M7" i="5"/>
  <c r="M6" i="5"/>
  <c r="G20" i="12" l="1"/>
  <c r="G21" i="12" s="1"/>
  <c r="K20" i="12"/>
  <c r="K21" i="12" s="1"/>
  <c r="D20" i="12"/>
  <c r="D21" i="12" s="1"/>
  <c r="H21" i="12"/>
  <c r="H20" i="12"/>
  <c r="L20" i="12"/>
  <c r="L21" i="12" s="1"/>
  <c r="E20" i="12"/>
  <c r="E21" i="12" s="1"/>
  <c r="I20" i="12"/>
  <c r="I21" i="12" s="1"/>
  <c r="J20" i="12"/>
  <c r="J21" i="12" s="1"/>
  <c r="M11" i="13"/>
  <c r="N92" i="5"/>
  <c r="M190" i="7"/>
  <c r="M190" i="8"/>
  <c r="D20" i="11"/>
  <c r="D21" i="11" s="1"/>
  <c r="M59" i="11"/>
  <c r="N92" i="12"/>
  <c r="F21" i="12"/>
  <c r="M59" i="12"/>
  <c r="M97" i="12"/>
  <c r="M190" i="12"/>
  <c r="M190" i="11"/>
  <c r="N92" i="11"/>
  <c r="M97" i="11"/>
  <c r="F21" i="11"/>
  <c r="N92" i="10"/>
  <c r="M190" i="9"/>
  <c r="M190" i="10"/>
  <c r="M20" i="10"/>
  <c r="F21" i="10"/>
  <c r="M21" i="10" s="1"/>
  <c r="N92" i="9"/>
  <c r="M20" i="9"/>
  <c r="M59" i="9"/>
  <c r="M21" i="9"/>
  <c r="M11" i="11"/>
  <c r="M11" i="12"/>
  <c r="M97" i="8"/>
  <c r="M11" i="9"/>
  <c r="M11" i="10"/>
  <c r="M59" i="13"/>
  <c r="N92" i="7"/>
  <c r="M97" i="9"/>
  <c r="M59" i="10"/>
  <c r="M97" i="10"/>
  <c r="N92" i="13"/>
  <c r="M190" i="13"/>
  <c r="M20" i="7"/>
  <c r="M59" i="7"/>
  <c r="M21" i="7"/>
  <c r="M11" i="7"/>
  <c r="M97" i="7"/>
  <c r="M97" i="6"/>
  <c r="M21" i="6"/>
  <c r="M20" i="6"/>
  <c r="M59" i="6"/>
  <c r="M11" i="6"/>
  <c r="M190" i="6"/>
  <c r="M97" i="5"/>
  <c r="G21" i="5"/>
  <c r="M21" i="5" s="1"/>
  <c r="M20" i="5"/>
  <c r="M59" i="5"/>
  <c r="M11" i="5"/>
  <c r="M97" i="13"/>
  <c r="M95" i="3"/>
  <c r="M97" i="3" s="1"/>
  <c r="M20" i="12" l="1"/>
  <c r="M21" i="12"/>
  <c r="M21" i="11"/>
  <c r="M20" i="11"/>
  <c r="H11" i="3"/>
  <c r="E133" i="13" l="1"/>
  <c r="G148" i="2" l="1"/>
  <c r="G147" i="2"/>
  <c r="G145" i="2"/>
  <c r="G144" i="2"/>
  <c r="E127" i="13"/>
  <c r="L190" i="4" l="1"/>
  <c r="K190" i="4"/>
  <c r="J190" i="4"/>
  <c r="I190" i="4"/>
  <c r="H190" i="4"/>
  <c r="G190" i="4"/>
  <c r="F190" i="4"/>
  <c r="E190" i="4"/>
  <c r="D190" i="4"/>
  <c r="N104" i="4"/>
  <c r="L97" i="4"/>
  <c r="K97" i="4"/>
  <c r="J97" i="4"/>
  <c r="I97" i="4"/>
  <c r="H97" i="4"/>
  <c r="G97" i="4"/>
  <c r="F97" i="4"/>
  <c r="E97" i="4"/>
  <c r="D97" i="4"/>
  <c r="D92" i="4"/>
  <c r="N91" i="4"/>
  <c r="N90" i="4"/>
  <c r="N92" i="4" s="1"/>
  <c r="N70" i="4"/>
  <c r="M64" i="4"/>
  <c r="L59" i="4"/>
  <c r="L20" i="4" s="1"/>
  <c r="K59" i="4"/>
  <c r="K20" i="4" s="1"/>
  <c r="J59" i="4"/>
  <c r="J20" i="4" s="1"/>
  <c r="J21" i="4" s="1"/>
  <c r="I59" i="4"/>
  <c r="I20" i="4" s="1"/>
  <c r="H59" i="4"/>
  <c r="H20" i="4" s="1"/>
  <c r="G59" i="4"/>
  <c r="G20" i="4" s="1"/>
  <c r="G21" i="4" s="1"/>
  <c r="F59" i="4"/>
  <c r="E20" i="4"/>
  <c r="D59" i="4"/>
  <c r="D20" i="4" s="1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24" i="4"/>
  <c r="M23" i="4"/>
  <c r="M19" i="4"/>
  <c r="M18" i="4"/>
  <c r="M17" i="4"/>
  <c r="M16" i="4"/>
  <c r="L11" i="4"/>
  <c r="K11" i="4"/>
  <c r="J11" i="4"/>
  <c r="I11" i="4"/>
  <c r="H11" i="4"/>
  <c r="G11" i="4"/>
  <c r="F11" i="4"/>
  <c r="E11" i="4"/>
  <c r="D11" i="4"/>
  <c r="M10" i="4"/>
  <c r="M9" i="4"/>
  <c r="M8" i="4"/>
  <c r="M7" i="4"/>
  <c r="M6" i="4"/>
  <c r="L190" i="3"/>
  <c r="K190" i="3"/>
  <c r="J190" i="3"/>
  <c r="I190" i="3"/>
  <c r="H190" i="3"/>
  <c r="G190" i="3"/>
  <c r="F190" i="3"/>
  <c r="E190" i="3"/>
  <c r="D190" i="3"/>
  <c r="N104" i="3"/>
  <c r="D92" i="3"/>
  <c r="N89" i="3"/>
  <c r="N92" i="3" s="1"/>
  <c r="L59" i="3"/>
  <c r="K59" i="3"/>
  <c r="K20" i="3" s="1"/>
  <c r="K21" i="3" s="1"/>
  <c r="J59" i="3"/>
  <c r="J20" i="3" s="1"/>
  <c r="J21" i="3" s="1"/>
  <c r="I59" i="3"/>
  <c r="H59" i="3"/>
  <c r="G59" i="3"/>
  <c r="G20" i="3" s="1"/>
  <c r="G21" i="3" s="1"/>
  <c r="F59" i="3"/>
  <c r="F20" i="3" s="1"/>
  <c r="F21" i="3" s="1"/>
  <c r="E20" i="3"/>
  <c r="D59" i="3"/>
  <c r="D20" i="3" s="1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L11" i="3"/>
  <c r="K11" i="3"/>
  <c r="J11" i="3"/>
  <c r="I11" i="3"/>
  <c r="G11" i="3"/>
  <c r="F11" i="3"/>
  <c r="E11" i="3"/>
  <c r="D11" i="3"/>
  <c r="M10" i="3"/>
  <c r="M9" i="3"/>
  <c r="M8" i="3"/>
  <c r="M7" i="3"/>
  <c r="M6" i="3"/>
  <c r="L190" i="2"/>
  <c r="K190" i="2"/>
  <c r="J190" i="2"/>
  <c r="I190" i="2"/>
  <c r="H190" i="2"/>
  <c r="G190" i="2"/>
  <c r="F190" i="2"/>
  <c r="E190" i="2"/>
  <c r="D190" i="2"/>
  <c r="N104" i="2"/>
  <c r="D97" i="2"/>
  <c r="D92" i="2"/>
  <c r="N91" i="2"/>
  <c r="N90" i="2"/>
  <c r="N89" i="2"/>
  <c r="L59" i="2"/>
  <c r="K59" i="2"/>
  <c r="K20" i="2" s="1"/>
  <c r="K21" i="2" s="1"/>
  <c r="J59" i="2"/>
  <c r="J20" i="2" s="1"/>
  <c r="J21" i="2" s="1"/>
  <c r="I59" i="2"/>
  <c r="H59" i="2"/>
  <c r="G59" i="2"/>
  <c r="G20" i="2" s="1"/>
  <c r="G21" i="2" s="1"/>
  <c r="F59" i="2"/>
  <c r="F20" i="2" s="1"/>
  <c r="F21" i="2" s="1"/>
  <c r="D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24" i="2"/>
  <c r="M23" i="2"/>
  <c r="M18" i="2"/>
  <c r="M17" i="2"/>
  <c r="M16" i="2"/>
  <c r="L11" i="2"/>
  <c r="K11" i="2"/>
  <c r="J11" i="2"/>
  <c r="I11" i="2"/>
  <c r="H11" i="2"/>
  <c r="G11" i="2"/>
  <c r="F11" i="2"/>
  <c r="E11" i="2"/>
  <c r="D11" i="2"/>
  <c r="M10" i="2"/>
  <c r="M9" i="2"/>
  <c r="M8" i="2"/>
  <c r="M7" i="2"/>
  <c r="M6" i="2"/>
  <c r="E21" i="3" l="1"/>
  <c r="D21" i="3"/>
  <c r="D20" i="2"/>
  <c r="D21" i="2" s="1"/>
  <c r="L20" i="2"/>
  <c r="L21" i="2" s="1"/>
  <c r="E20" i="2"/>
  <c r="E21" i="2" s="1"/>
  <c r="I20" i="2"/>
  <c r="I21" i="2" s="1"/>
  <c r="H20" i="2"/>
  <c r="H21" i="2" s="1"/>
  <c r="L20" i="3"/>
  <c r="L21" i="3" s="1"/>
  <c r="N92" i="2"/>
  <c r="I20" i="3"/>
  <c r="I21" i="3" s="1"/>
  <c r="H20" i="3"/>
  <c r="H21" i="3" s="1"/>
  <c r="K21" i="4"/>
  <c r="E21" i="4"/>
  <c r="L21" i="4"/>
  <c r="M190" i="4"/>
  <c r="F21" i="4"/>
  <c r="D21" i="4"/>
  <c r="I21" i="4"/>
  <c r="M20" i="4"/>
  <c r="H21" i="4"/>
  <c r="M59" i="4"/>
  <c r="M11" i="4"/>
  <c r="M11" i="3"/>
  <c r="M59" i="3"/>
  <c r="M59" i="2"/>
  <c r="M11" i="2"/>
  <c r="M19" i="2"/>
  <c r="M20" i="3" l="1"/>
  <c r="M21" i="3"/>
  <c r="M20" i="2"/>
  <c r="M21" i="2"/>
  <c r="M21" i="4"/>
  <c r="M49" i="1" l="1"/>
  <c r="M50" i="1"/>
  <c r="M51" i="1"/>
  <c r="M52" i="1"/>
  <c r="M53" i="1"/>
  <c r="M54" i="1"/>
  <c r="M55" i="1"/>
  <c r="M56" i="1"/>
  <c r="M57" i="1"/>
  <c r="D19" i="13" l="1"/>
  <c r="N104" i="1" l="1"/>
  <c r="M19" i="13" l="1"/>
  <c r="M64" i="1"/>
  <c r="E119" i="13" l="1"/>
  <c r="E120" i="13"/>
  <c r="E121" i="13"/>
  <c r="E122" i="13"/>
  <c r="L190" i="1"/>
  <c r="K190" i="1"/>
  <c r="J190" i="1"/>
  <c r="I190" i="1"/>
  <c r="H190" i="1"/>
  <c r="G190" i="1"/>
  <c r="F190" i="1"/>
  <c r="E190" i="1"/>
  <c r="D190" i="1"/>
  <c r="L59" i="1"/>
  <c r="K59" i="1"/>
  <c r="J59" i="1"/>
  <c r="I59" i="1"/>
  <c r="H59" i="1"/>
  <c r="H20" i="1" s="1"/>
  <c r="G59" i="1"/>
  <c r="G20" i="1" s="1"/>
  <c r="F59" i="1"/>
  <c r="F20" i="1" s="1"/>
  <c r="D59" i="1"/>
  <c r="M58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24" i="1"/>
  <c r="M23" i="1"/>
  <c r="L97" i="1"/>
  <c r="K97" i="1"/>
  <c r="J97" i="1"/>
  <c r="I97" i="1"/>
  <c r="H97" i="1"/>
  <c r="G97" i="1"/>
  <c r="F97" i="1"/>
  <c r="E97" i="1"/>
  <c r="D97" i="1"/>
  <c r="M18" i="1"/>
  <c r="M17" i="1"/>
  <c r="M16" i="1"/>
  <c r="L11" i="1"/>
  <c r="K11" i="1"/>
  <c r="J11" i="1"/>
  <c r="I11" i="1"/>
  <c r="H11" i="1"/>
  <c r="G11" i="1"/>
  <c r="F11" i="1"/>
  <c r="E11" i="1"/>
  <c r="D11" i="1"/>
  <c r="M10" i="1"/>
  <c r="M9" i="1"/>
  <c r="M8" i="1"/>
  <c r="M7" i="1"/>
  <c r="M6" i="1"/>
  <c r="D92" i="1"/>
  <c r="N91" i="1"/>
  <c r="N90" i="1"/>
  <c r="N89" i="1"/>
  <c r="L20" i="13" l="1"/>
  <c r="L21" i="13" s="1"/>
  <c r="L20" i="1"/>
  <c r="L21" i="1" s="1"/>
  <c r="D20" i="13"/>
  <c r="D21" i="13" s="1"/>
  <c r="D20" i="1"/>
  <c r="J20" i="1"/>
  <c r="J20" i="13" s="1"/>
  <c r="J21" i="13" s="1"/>
  <c r="K20" i="1"/>
  <c r="K20" i="13" s="1"/>
  <c r="K21" i="13" s="1"/>
  <c r="I20" i="1"/>
  <c r="I20" i="13" s="1"/>
  <c r="I21" i="13" s="1"/>
  <c r="J21" i="1"/>
  <c r="N92" i="1"/>
  <c r="M97" i="1"/>
  <c r="F21" i="1"/>
  <c r="F20" i="13"/>
  <c r="F21" i="13" s="1"/>
  <c r="G21" i="1"/>
  <c r="G20" i="13"/>
  <c r="G21" i="13" s="1"/>
  <c r="H21" i="1"/>
  <c r="H20" i="13"/>
  <c r="H21" i="13" s="1"/>
  <c r="M59" i="1"/>
  <c r="N70" i="1"/>
  <c r="M11" i="1"/>
  <c r="M19" i="1"/>
  <c r="D21" i="1"/>
  <c r="E21" i="1" l="1"/>
  <c r="K21" i="1"/>
  <c r="M20" i="1"/>
  <c r="I21" i="1"/>
  <c r="M20" i="13" l="1"/>
  <c r="E21" i="13"/>
  <c r="M21" i="13" s="1"/>
  <c r="M21" i="1"/>
</calcChain>
</file>

<file path=xl/sharedStrings.xml><?xml version="1.0" encoding="utf-8"?>
<sst xmlns="http://schemas.openxmlformats.org/spreadsheetml/2006/main" count="3989" uniqueCount="462">
  <si>
    <t>Northland Pioneer College Library System</t>
  </si>
  <si>
    <t>Materials Used</t>
  </si>
  <si>
    <t>Hopi</t>
  </si>
  <si>
    <t>Kayenta</t>
  </si>
  <si>
    <t>LCC</t>
  </si>
  <si>
    <t>PDC</t>
  </si>
  <si>
    <t>SCC</t>
  </si>
  <si>
    <t>SPE</t>
  </si>
  <si>
    <t>STJ</t>
  </si>
  <si>
    <t>WMC</t>
  </si>
  <si>
    <t>WRV</t>
  </si>
  <si>
    <t>OPAC</t>
  </si>
  <si>
    <t>Total</t>
  </si>
  <si>
    <t>Renewals</t>
  </si>
  <si>
    <t>In-House</t>
  </si>
  <si>
    <t>Government Documents Collection is at LCC.</t>
  </si>
  <si>
    <t>Patrons Registered</t>
  </si>
  <si>
    <t>Adult-Com</t>
  </si>
  <si>
    <t>Youth-C</t>
  </si>
  <si>
    <t>Faculty</t>
  </si>
  <si>
    <t>Staff</t>
  </si>
  <si>
    <t>Student</t>
  </si>
  <si>
    <t>(#students may be more than enrollment if unenrolled student still owes fines; also student records have not been purged yet)</t>
  </si>
  <si>
    <t>Fines Collected</t>
  </si>
  <si>
    <t>Directional</t>
  </si>
  <si>
    <t>Reference</t>
  </si>
  <si>
    <t>Other</t>
  </si>
  <si>
    <t>Inst Email</t>
  </si>
  <si>
    <t>Testing</t>
  </si>
  <si>
    <t>TOTAL</t>
  </si>
  <si>
    <t>Reserves Used</t>
  </si>
  <si>
    <t>Info. Lit. Sessions</t>
  </si>
  <si>
    <t>#people in sessions</t>
  </si>
  <si>
    <t>ANT</t>
  </si>
  <si>
    <t>ART</t>
  </si>
  <si>
    <t>BIO</t>
  </si>
  <si>
    <t>BUS</t>
  </si>
  <si>
    <t>CCP</t>
  </si>
  <si>
    <t>CHM</t>
  </si>
  <si>
    <t>CIS</t>
  </si>
  <si>
    <t>ECD/EDU</t>
  </si>
  <si>
    <t>EMT</t>
  </si>
  <si>
    <t>ENL</t>
  </si>
  <si>
    <t>GEO</t>
  </si>
  <si>
    <t>GLG</t>
  </si>
  <si>
    <t>HES</t>
  </si>
  <si>
    <t>HIS</t>
  </si>
  <si>
    <t>HUM</t>
  </si>
  <si>
    <t>HUS</t>
  </si>
  <si>
    <t>IMO</t>
  </si>
  <si>
    <t>MAT</t>
  </si>
  <si>
    <t>MDA</t>
  </si>
  <si>
    <t>MUS</t>
  </si>
  <si>
    <t>NAT/NUR</t>
  </si>
  <si>
    <t>PHL</t>
  </si>
  <si>
    <t>PSY</t>
  </si>
  <si>
    <t>SOC</t>
  </si>
  <si>
    <t>SPA</t>
  </si>
  <si>
    <t>Other NPC</t>
  </si>
  <si>
    <t>NON-NPC</t>
  </si>
  <si>
    <t>Print</t>
  </si>
  <si>
    <t>AV Media</t>
  </si>
  <si>
    <t>Electronic</t>
  </si>
  <si>
    <t>Monograph</t>
  </si>
  <si>
    <t>Serial</t>
  </si>
  <si>
    <t>Maps</t>
  </si>
  <si>
    <t>Misc.</t>
  </si>
  <si>
    <t>Equipmnt</t>
  </si>
  <si>
    <t>VHS</t>
  </si>
  <si>
    <t>DVD/CD</t>
  </si>
  <si>
    <t>Cassette</t>
  </si>
  <si>
    <t>Internet</t>
  </si>
  <si>
    <t>E Audiobooks</t>
  </si>
  <si>
    <t>Titles</t>
  </si>
  <si>
    <t>not available</t>
  </si>
  <si>
    <t xml:space="preserve">Items </t>
  </si>
  <si>
    <t>Misc. includes braille, globe, graphic, kits &amp; any other media not specified above.</t>
  </si>
  <si>
    <t>Items Sent for Repair</t>
  </si>
  <si>
    <t>Lost-not returned by patron</t>
  </si>
  <si>
    <t>Titles updated</t>
  </si>
  <si>
    <t>Items Repaired</t>
  </si>
  <si>
    <t>Missing - not found on shelf</t>
  </si>
  <si>
    <t>Items removed</t>
  </si>
  <si>
    <t>System Use of Materials</t>
  </si>
  <si>
    <t>Items Used by Patron Type</t>
  </si>
  <si>
    <t>Overdue Notices Sent to Patrons</t>
  </si>
  <si>
    <t>Audio</t>
  </si>
  <si>
    <t>Pre-Due Date Notice</t>
  </si>
  <si>
    <t>Career</t>
  </si>
  <si>
    <t>1st Notice</t>
  </si>
  <si>
    <t>Educational Video</t>
  </si>
  <si>
    <t>2nd Notice</t>
  </si>
  <si>
    <t>Entertainment Video</t>
  </si>
  <si>
    <t>Community Adult</t>
  </si>
  <si>
    <t>Billing</t>
  </si>
  <si>
    <t>Equipment</t>
  </si>
  <si>
    <t>Community Youth</t>
  </si>
  <si>
    <t>Collections</t>
  </si>
  <si>
    <t>Faculty Video (off. wr.rm.)</t>
  </si>
  <si>
    <t>Foreign Film</t>
  </si>
  <si>
    <t>Government Documents</t>
  </si>
  <si>
    <t>Holds/Requests within NPC system</t>
  </si>
  <si>
    <t>Grants</t>
  </si>
  <si>
    <t>Made during the current month</t>
  </si>
  <si>
    <t>Professional Develop.</t>
  </si>
  <si>
    <t>Filled during the current month</t>
  </si>
  <si>
    <t>Hold Recalls</t>
  </si>
  <si>
    <t>Electronic Magazine</t>
  </si>
  <si>
    <t>Searches</t>
  </si>
  <si>
    <t>Page Views</t>
  </si>
  <si>
    <t>Flipster</t>
  </si>
  <si>
    <t>Electronic Books</t>
  </si>
  <si>
    <t>Full-Text</t>
  </si>
  <si>
    <t>EBSCO Ebooks</t>
  </si>
  <si>
    <t>EBSCO Audio Books</t>
  </si>
  <si>
    <t>Salem</t>
  </si>
  <si>
    <t>Ethnologue</t>
  </si>
  <si>
    <t>Library Catalog Usage</t>
  </si>
  <si>
    <t>Visits</t>
  </si>
  <si>
    <t>Interlibrary Loan - system wide</t>
  </si>
  <si>
    <t>Returnable</t>
  </si>
  <si>
    <t>Borrowed by NPC</t>
  </si>
  <si>
    <t>Unfilled</t>
  </si>
  <si>
    <t>Education Source</t>
  </si>
  <si>
    <t>Lent by NPC</t>
  </si>
  <si>
    <t>ERIC</t>
  </si>
  <si>
    <t>n/a</t>
  </si>
  <si>
    <t>History Study Center</t>
  </si>
  <si>
    <t>Teacher Reference Center</t>
  </si>
  <si>
    <t>Ask a Librarian</t>
  </si>
  <si>
    <t>Text a Librarian</t>
  </si>
  <si>
    <t>Library</t>
  </si>
  <si>
    <t>DRA</t>
  </si>
  <si>
    <t># of computers</t>
  </si>
  <si>
    <t>Reference/Public Service</t>
  </si>
  <si>
    <t>Administrative/Personnel Changes</t>
  </si>
  <si>
    <t>Displays/Exhibits</t>
  </si>
  <si>
    <t>Meetings/Conferences</t>
  </si>
  <si>
    <t>Special Projects / Staff Accomplishments</t>
  </si>
  <si>
    <t>Services Provided</t>
  </si>
  <si>
    <t>by Location</t>
  </si>
  <si>
    <t>Materials owned</t>
  </si>
  <si>
    <t>collection type</t>
  </si>
  <si>
    <t>Material by</t>
  </si>
  <si>
    <t>*E Book</t>
  </si>
  <si>
    <t>*</t>
  </si>
  <si>
    <t xml:space="preserve">Ebsco E Books = </t>
  </si>
  <si>
    <t>Salem Press E Books =</t>
  </si>
  <si>
    <t>Leppin</t>
  </si>
  <si>
    <t>Term Paper</t>
  </si>
  <si>
    <t>DATABASE TITLE / ONLINE JOURNAL</t>
  </si>
  <si>
    <t>Searches Performed</t>
  </si>
  <si>
    <t>pageviews or other measure</t>
  </si>
  <si>
    <t>If newly acquired, date of acquisition</t>
  </si>
  <si>
    <t>Audiobook Collection</t>
  </si>
  <si>
    <t>CINAHL with Full Text</t>
  </si>
  <si>
    <t>eBook Collection</t>
  </si>
  <si>
    <t>GreenFILE</t>
  </si>
  <si>
    <t>eHRAF - Archaeology (free with World Cultures)</t>
  </si>
  <si>
    <t>eHRAF - World Cultures Collection of Ethnography</t>
  </si>
  <si>
    <t>Nursing and Allied Health Collection</t>
  </si>
  <si>
    <t>Nursing Resource Center</t>
  </si>
  <si>
    <t>Opposing Viewpoints in Context</t>
  </si>
  <si>
    <t>JSTOR (Arts &amp; Sciences I &amp; III Collections)</t>
  </si>
  <si>
    <t>All Salem Press Titles</t>
  </si>
  <si>
    <t>GrantSelect</t>
  </si>
  <si>
    <t>Total number of searches/other measure for month</t>
  </si>
  <si>
    <t>POS</t>
  </si>
  <si>
    <t>Staff Development/Workshops/Seminars</t>
  </si>
  <si>
    <t>Associates Programs Source</t>
  </si>
  <si>
    <t>Collection Information</t>
  </si>
  <si>
    <t>Articles/</t>
  </si>
  <si>
    <t>Copies</t>
  </si>
  <si>
    <t>Databases</t>
  </si>
  <si>
    <t>Bus Office
 or Collections</t>
  </si>
  <si>
    <t>Computer Usage</t>
  </si>
  <si>
    <t>Narrative</t>
  </si>
  <si>
    <t>Equip in Classrooms</t>
  </si>
  <si>
    <t>Equip Checkouts</t>
  </si>
  <si>
    <t>Checkouts</t>
  </si>
  <si>
    <t>Science Magazine</t>
  </si>
  <si>
    <t>Patrons Registered (As of June 2018)</t>
  </si>
  <si>
    <t>N/A</t>
  </si>
  <si>
    <t>Academic Search Complete</t>
  </si>
  <si>
    <t>CINAHL Complete</t>
  </si>
  <si>
    <t>Items deleted</t>
  </si>
  <si>
    <t>WMC had 9 students who had to wait to test on 5/9/18 (Wed)</t>
  </si>
  <si>
    <t>Total # of searches/other measure for month</t>
  </si>
  <si>
    <t xml:space="preserve"> </t>
  </si>
  <si>
    <t>Sept. 2018</t>
  </si>
  <si>
    <t>Oct. 2018</t>
  </si>
  <si>
    <t>Nov. 2018</t>
  </si>
  <si>
    <t>Dec. 2018</t>
  </si>
  <si>
    <t>Jan. 2019</t>
  </si>
  <si>
    <t>Feb. 2019</t>
  </si>
  <si>
    <t>Ebsco E Books</t>
  </si>
  <si>
    <t>Salem Press E Books</t>
  </si>
  <si>
    <t>FY 2018 - FY 2019</t>
  </si>
  <si>
    <t xml:space="preserve">Stan &amp; Daphne - WRV interviews 7/12 </t>
  </si>
  <si>
    <t>Stan - w/Everrett (new webpages) 7/18, Dean's mtg. 7/24</t>
  </si>
  <si>
    <t>SCC - Summer reading fun, Harry Potter Day, Recreation month</t>
  </si>
  <si>
    <t>WMC - Veteran's Rm. Access: 28, IRS fax sent: 2</t>
  </si>
  <si>
    <t xml:space="preserve">WMC July Days, Summer Movie Fun, Books can take you anywhere, </t>
  </si>
  <si>
    <t>New &amp; New Fiction, Puzzle table, Color Away Stress, Get to know</t>
  </si>
  <si>
    <t>Arizona</t>
  </si>
  <si>
    <t>Daphne sent 33 colleciton notices</t>
  </si>
  <si>
    <t>discontinued 7/20/18</t>
  </si>
  <si>
    <t>St.J - Jessica Villagomez and Janet Lann are new Temps.</t>
  </si>
  <si>
    <t>LCC, WMC, SCC, Hopi - 4th of July</t>
  </si>
  <si>
    <t>Hopi - Summer</t>
  </si>
  <si>
    <t>Chantal, Janalda - Advisement Meeting 7/13</t>
  </si>
  <si>
    <t>WRV - April moved to WMC Advising, Ralph moved to PDC Bookstore</t>
  </si>
  <si>
    <t>Academic Search Complet</t>
  </si>
  <si>
    <t>WMC - Welcome, Puzzle table, Summer movies, Eating Smart</t>
  </si>
  <si>
    <t>LCC - Back to School</t>
  </si>
  <si>
    <t>SCC - Book Lovers Day, National Smile Week</t>
  </si>
  <si>
    <t>Tamara, Tina, Janalda, Chantel, Monique attended</t>
  </si>
  <si>
    <t>PDC - We're here for you!, Check Meowt, Navajo code talkers</t>
  </si>
  <si>
    <t xml:space="preserve">WRV - Monique, Advisor/Library Media Tech. </t>
  </si>
  <si>
    <t>Discontinued 7/20/18</t>
  </si>
  <si>
    <t>Discontinued 8/29/2018</t>
  </si>
  <si>
    <t>Hopi - Back to School, Peach Month, Family Fun</t>
  </si>
  <si>
    <t>WMC - Vet Center Access 36,  IRS fax 3, Power Outage, closed 12:30 8/31</t>
  </si>
  <si>
    <t xml:space="preserve">   LCC, SCC, PDC -  Internet down 7:30-2 8/31</t>
  </si>
  <si>
    <t>8/3 - Stan, Bethann, Daphne, Denise, Luanne, Cynthia, Susan,</t>
  </si>
  <si>
    <t>staff mtg. @ PDC</t>
  </si>
  <si>
    <t>8/13 Bethann, Daphne, Denise, Luanne, Cynthia, Susan,</t>
  </si>
  <si>
    <t>Tamara, Tina, Janalda, Chantel, Monique attended Convocation</t>
  </si>
  <si>
    <t>8/10 - Denise - WVR training &amp; Sister visit</t>
  </si>
  <si>
    <t>8/24 -Stan @  ACCLC committee mtg, 8/28 - Deans mtg, 8/29 - FDLP phone conf.</t>
  </si>
  <si>
    <t>LCC - Pharos down 11:30-12:30 9/25</t>
  </si>
  <si>
    <t xml:space="preserve">         System crashed @ 2:33 9/27</t>
  </si>
  <si>
    <t>LCC - Constitution Day, Banned Books, Hispanic Heritage, Dinosaur</t>
  </si>
  <si>
    <t xml:space="preserve">SCC - Constitution Day, Banned Books, Hispanic Heritage, </t>
  </si>
  <si>
    <t xml:space="preserve">           Fight Procrastination Day, National Grandparents Day</t>
  </si>
  <si>
    <t>StJ - Hosted an Active Shooter Training with Stuart Bishop</t>
  </si>
  <si>
    <t>WMC -  Constitution Day, Banned Books, Hispanic Heritage,</t>
  </si>
  <si>
    <t>WMC - Daphne - Active Threat Training 9/5</t>
  </si>
  <si>
    <t>WMC - Veteran Access: 62</t>
  </si>
  <si>
    <t>WMC - Phone conference with Bethann, Stan &amp; Daphne</t>
  </si>
  <si>
    <t xml:space="preserve">              Phone conference with Stan, Everett, &amp; Daphne</t>
  </si>
  <si>
    <t xml:space="preserve">                regarding Library Webpage.</t>
  </si>
  <si>
    <t>Hopi - Constitution Day, Banned Books, Hispanic Heritage</t>
  </si>
  <si>
    <t>Hopi - New FWS: Chelsea Silas, Renae Lacapa, &amp; Martika Yazzie</t>
  </si>
  <si>
    <t xml:space="preserve">         September Days, College Success, 9/11</t>
  </si>
  <si>
    <t>PDC - Constitution Day, Banned Books, Hispanic Heritage, 9/11</t>
  </si>
  <si>
    <t xml:space="preserve">     New Books/DVDs &amp; Fresh Fiction</t>
  </si>
  <si>
    <t>WMC - Daphne &amp; Denise Attended AzLA Conference 10/24-10/26</t>
  </si>
  <si>
    <t>WMC - Veterans Access: 63, IRS Fax: 4</t>
  </si>
  <si>
    <t>WRV - Closed 10/16, no electricity</t>
  </si>
  <si>
    <t>WRV - Monique meeting w/Josh and Stan</t>
  </si>
  <si>
    <t>WMC/WRV - Denise/Monique @ WRV 10/5 &amp; 10/19 for Library Training</t>
  </si>
  <si>
    <t>WRV, LCC - Domestic Violence Awareness</t>
  </si>
  <si>
    <t xml:space="preserve">WMC -October Days, Movie Fun: Zombies &amp; Halloween, Vote, </t>
  </si>
  <si>
    <t>WRV -  Mad Hatter</t>
  </si>
  <si>
    <t>LCC - AZ Archive Month, WW1</t>
  </si>
  <si>
    <t>LCC - Tomi Jensen begins as FWS employee</t>
  </si>
  <si>
    <t>LCC - Single spinner received from PDC, Single spinner sent to PDC</t>
  </si>
  <si>
    <t xml:space="preserve">SCC Hispanic Heritage, National Apple month, Information Literacy </t>
  </si>
  <si>
    <t xml:space="preserve">     Awareness, "Do you want to have a Nightmare"</t>
  </si>
  <si>
    <t>SCC - Smartboard/projector and polycom problems in Audio 10/15, 16 &amp; 18</t>
  </si>
  <si>
    <t>PDC - Stephen Elson begins as temp.</t>
  </si>
  <si>
    <t>PDC - Hispanic Heritage, Beware! (horror), Just Vote</t>
  </si>
  <si>
    <t>WMC, LCC, SCC, PDC, Hopi - Disability Awareness Month</t>
  </si>
  <si>
    <t>Items added</t>
  </si>
  <si>
    <t>WMC, WRV, LCC - Hispanic Heritage, Breat Cancer Awareness</t>
  </si>
  <si>
    <t>WMC, WRV, LCC, Hopi - Halloween</t>
  </si>
  <si>
    <t>WMC - Vet access: 65, IRS Fax: 4, Daphne @ LCC 11/20, 11/27,</t>
  </si>
  <si>
    <t>11/29, Denise @ WRV 11/28</t>
  </si>
  <si>
    <t>WMC - Denise mtg. w/Deb McGinty re: Alcohol and Drug Abuse Awareness promotion January 2019</t>
  </si>
  <si>
    <t>New Arrivals, "To read is to voyage through time"</t>
  </si>
  <si>
    <t>SCC - Native Am. Heritage, Fall/Thanksgiving tree, Veterans Day,</t>
  </si>
  <si>
    <t>SCC started inventory 11/1/18</t>
  </si>
  <si>
    <t>Hopi - Native Am. Heritage, Veteran's Day, Thanksgiving, Recycling</t>
  </si>
  <si>
    <t>WRV - Native Am. Heritage, Veteran's Day</t>
  </si>
  <si>
    <t>Monique/Ricardo - Literacy Session Training 11/7</t>
  </si>
  <si>
    <t>WRV - Monique, Active Shooter Training 11/20</t>
  </si>
  <si>
    <t>Christmas DVDs</t>
  </si>
  <si>
    <t>LCC, WMC - Native Am. Heritage, Veteran's Day, Thanksgiving,</t>
  </si>
  <si>
    <t>WMC - Vote, November Days, Recycle Day, No Shave November</t>
  </si>
  <si>
    <t>LCC started inventory 11/29/18</t>
  </si>
  <si>
    <t>PDC - Native Am. Heritage, Give Thanks, Vote, Thank you, Vets</t>
  </si>
  <si>
    <t>PDC - Bethann - CASO textbook scholarship committee 11/5</t>
  </si>
  <si>
    <t>Stan - budget mtg. 11/28</t>
  </si>
  <si>
    <t>WRV - Monique - CASO mtg. 11/16, Financial Aid mtg. 11/14</t>
  </si>
  <si>
    <t>WMC - Veteran access: 16, IRS fax: 2</t>
  </si>
  <si>
    <t xml:space="preserve">All campuses and centers: Facilitated Guo MAT Moodle finals </t>
  </si>
  <si>
    <t>WRV- Printer not scanning 12/7</t>
  </si>
  <si>
    <t>FINALS…the REAL Nightmare Before Christmas</t>
  </si>
  <si>
    <t xml:space="preserve">WMC - Christmas DVDs, Christmas folded books, </t>
  </si>
  <si>
    <t>Color Away Stress, December Days,</t>
  </si>
  <si>
    <t>WRV - Snowman &amp; Snowflakes, Christmas decorations</t>
  </si>
  <si>
    <t>Hopi - Making Connections in Safety for Native Women &amp; Tribal Sovereignty:</t>
  </si>
  <si>
    <t>HTWCEA Training</t>
  </si>
  <si>
    <t xml:space="preserve">Hopi- Christmas, Pearl Harbor Day, Aids Awareness, </t>
  </si>
  <si>
    <t>Rosa Parks Day, Bill of Rights Day</t>
  </si>
  <si>
    <t>Hopi- Begin VITA Tax Prep Training (Volunteers), LCC Library Sister visit</t>
  </si>
  <si>
    <t>LCC- 12/3 lockdown 11 am - 2 pm, 12/10 Moodle down 1/2 hour</t>
  </si>
  <si>
    <t>LCC- Winter Holidays, AIDS, Recycling, Pearl Harbor</t>
  </si>
  <si>
    <t>SCC - Last day for Regina Foshee (FWS)</t>
  </si>
  <si>
    <t>SCC-Luann attended Safety Committee Meeting 12/4</t>
  </si>
  <si>
    <t>WMC - Denise mtg. w/Deb McGinty regarding Jan. promotion 12/19</t>
  </si>
  <si>
    <t>SCC-Christmas in the Southwest, "Charlie Brown Merry Christmas"</t>
  </si>
  <si>
    <t>"A book is a gift you can open again and again"</t>
  </si>
  <si>
    <t>12/14- Explosion boxes: 32 children, 11 adults</t>
  </si>
  <si>
    <t>12/21- Telescoping snowmen: 21 children, 10 adults</t>
  </si>
  <si>
    <t>SCC-Discover Nest went very well: Total - 53 children and 21 adults attended</t>
  </si>
  <si>
    <t>PDC - Stan: Deans meeting 12/11, PDC Safety Committee 12/11</t>
  </si>
  <si>
    <t>PDC; Happy Winter, 'Tis the Season to be reading, Santa Reads</t>
  </si>
  <si>
    <t>WMC - Library and Lab computers received updates 12/17 &amp; 12/18</t>
  </si>
  <si>
    <t>Janet Lann is no longer employed at the St. Johns center</t>
  </si>
  <si>
    <t>WMC - January Days, Puzzle</t>
  </si>
  <si>
    <t>Denise @ WRV for sister visit 1/8/19, Consulted with Nursing</t>
  </si>
  <si>
    <t>WMC - Kellie Gillespie (temp) resigned 1/1/19</t>
  </si>
  <si>
    <t>WMC - Denise began paperwork for disposal of obsolete equipment</t>
  </si>
  <si>
    <t>LCC - phone lines down 1/22 3:30 pm to 1/23 9:30 am</t>
  </si>
  <si>
    <t>LCC - Sci Fi Movies, Back to School</t>
  </si>
  <si>
    <t>WRV - 1/2 Closed, no elec. 1/25 printer updated</t>
  </si>
  <si>
    <t>WRV - Financial Wellness, National Tea</t>
  </si>
  <si>
    <t>SCC - "Reading is to the mind what exercise is to the body"</t>
  </si>
  <si>
    <t>Hopi - Welcome Back, Nat'l Drug &amp; Alcohol Facts Week,</t>
  </si>
  <si>
    <t>Blood Donor, Nat'l Bookweek</t>
  </si>
  <si>
    <t xml:space="preserve">WMC, PDC (Stan), WRV, SPE, STJ, Kay, Hopi, SCC, LCC, - </t>
  </si>
  <si>
    <t>Convocation 1/7/19</t>
  </si>
  <si>
    <t>Hopi - VITA Tax Prep Training</t>
  </si>
  <si>
    <t>WMC, LCC, WRV, SCC, PDC - Nat'l Drug &amp; Alcohol Facts Week, MLK</t>
  </si>
  <si>
    <t>PDC - You belong @your library</t>
  </si>
  <si>
    <t>Stan, Daphne, Denise, Susan, Cynthia, Luann, Janalda - Library Staff Mtg. 1/7/19</t>
  </si>
  <si>
    <t>Stan - Exec. Team mtg 1/14, Criterion 2 mtg 1/22, IC 1/25</t>
  </si>
  <si>
    <t>SCC - Sharon Hansen resigned  1/9/19</t>
  </si>
  <si>
    <t>Daphne -St. Johns &amp; SPE for sister visit 1/4/19</t>
  </si>
  <si>
    <t xml:space="preserve">Daphne @ WRV for ILL session 1/29/19, </t>
  </si>
  <si>
    <t xml:space="preserve">Denise consulted with Nursing Dept. for the </t>
  </si>
  <si>
    <t>Nat'l Drug &amp; Alcohol Facts Week promotion for NPC</t>
  </si>
  <si>
    <t>WMC - 1/19/19 CPR class held in library</t>
  </si>
  <si>
    <t>WMC - 1/2/19 Snow Day</t>
  </si>
  <si>
    <t>Stan, Daphne &amp; Denise, ASRS Mtg. 1/9/19</t>
  </si>
  <si>
    <t>Denise, NPC Abuse Presentation 1/23/19</t>
  </si>
  <si>
    <t>WMC - Vet access: 29</t>
  </si>
  <si>
    <t xml:space="preserve">WMC - Veteran access 33 </t>
  </si>
  <si>
    <t>WMC, WRV, Hopi - Weather Closure 2/18</t>
  </si>
  <si>
    <t>All NPC Weather Closure 2/21 &amp; 2/22</t>
  </si>
  <si>
    <t>WMC - Hired FSW, David Marshall</t>
  </si>
  <si>
    <t>SCC - Hired FSW, Kyle Tucker &amp; Temp, Regina Foshee</t>
  </si>
  <si>
    <t>All College 2/8, Safety Committee 2/12 - Daphne &amp; Luanne</t>
  </si>
  <si>
    <t>Perf. Eval. Mtg 2/13 - Luann</t>
  </si>
  <si>
    <t>WRV 2/14 &amp; 2/28 - Daphne</t>
  </si>
  <si>
    <t>WRV - Inventory 2/14 &amp; 2/28 - Daphne</t>
  </si>
  <si>
    <t>WRV - Hired Temp, Amber Kessay</t>
  </si>
  <si>
    <t>Hopi - Valentine's Day</t>
  </si>
  <si>
    <t>Hopi - VITA Tax Intake</t>
  </si>
  <si>
    <t>Dean's meeting 2/26 - Stan</t>
  </si>
  <si>
    <t>LTC 2/28 - Stan</t>
  </si>
  <si>
    <t>WMC - IS updated laptops, disposed 41 unused pieces of equipment 2/26</t>
  </si>
  <si>
    <t xml:space="preserve">STJ - Tina Gonzalez (Center Mgr.), Amber Shepard and Juliet </t>
  </si>
  <si>
    <t>(front office staff) last day was 2/28/19</t>
  </si>
  <si>
    <t>Proctored testing adhoc committee 2/15 - Stan &amp; Daphne</t>
  </si>
  <si>
    <t>WMC, SCC, LCC, PDC, WRV - Black History</t>
  </si>
  <si>
    <t>SCC - Library Lovers, National Pokemon</t>
  </si>
  <si>
    <t>LCC - Presidents' Day, Romantic Movies, AZ State Day</t>
  </si>
  <si>
    <t>WRV - Valentines Day</t>
  </si>
  <si>
    <t>PDC - Arizona, Love my library</t>
  </si>
  <si>
    <t>WMC - Library Lovers, American Heart, AZ Bday, Love Stories DVDs</t>
  </si>
  <si>
    <t>WMC Vet Access - 28</t>
  </si>
  <si>
    <t>Stan &amp; Daphne - Testing Committee (3/21)</t>
  </si>
  <si>
    <t>Safe College Training - All PDC Staff</t>
  </si>
  <si>
    <t>PDC - Irish American Month</t>
  </si>
  <si>
    <t>Stan - IC Meeting (3/22)</t>
  </si>
  <si>
    <t>New part-time employees at St. Johns, Alexius Craig and David Bejerano</t>
  </si>
  <si>
    <t>Nicole - Employee Relations and PASS</t>
  </si>
  <si>
    <t>Daphne &amp; Luann - All College Forum (3/29)</t>
  </si>
  <si>
    <t>WMC - Spring into Reading, Martial Arts Movies</t>
  </si>
  <si>
    <t>SCC - Pi Day, Dr. Seuss, Learn about Butterflies</t>
  </si>
  <si>
    <t>Issues at WMC, loss data, stats are incorrect.</t>
  </si>
  <si>
    <t xml:space="preserve">WMC, SCC, Hopi - Dr. Seuss' Birthday and St. Patrick's Day </t>
  </si>
  <si>
    <t>WRV and Hopi - Arizona Adult Literacy</t>
  </si>
  <si>
    <t>LCC, WMC, WRV, PDC, SCC, Hopi - Women's History Month</t>
  </si>
  <si>
    <t>VITA Tax Intake - Hopi</t>
  </si>
  <si>
    <t>Janalda - Advisor Meeting and Native Skills (Judging)</t>
  </si>
  <si>
    <t>As of June 2019</t>
  </si>
  <si>
    <t>Renny Johnson is no longer working at WRV</t>
  </si>
  <si>
    <t>Amber Kessay was hired at WRV</t>
  </si>
  <si>
    <t>David Marshall is no longer working as a FWS at WMC</t>
  </si>
  <si>
    <t>WRV made Library of Congress Posters to place at the end of the book shelves</t>
  </si>
  <si>
    <t>Luann - SCC Safety Comm. Meeting (4/16)</t>
  </si>
  <si>
    <t>Daphne - WMC Safety Comm. Mtg. (4/9)</t>
  </si>
  <si>
    <t>Superhero Day - SCC</t>
  </si>
  <si>
    <t>LCC closed early on 4/16, 4/17, and 4/18 due to staffing illness</t>
  </si>
  <si>
    <t>Comedy DVD's - LCC</t>
  </si>
  <si>
    <t>PDC received new circulation desk computer</t>
  </si>
  <si>
    <t>Safe College Workshops completed by all staff at PDC Library</t>
  </si>
  <si>
    <t>Stan - PDC Safety Comm. Mtg (4/9), Dean/Director's Mtg (4/23)</t>
  </si>
  <si>
    <t>National Library Week - WRV, WMC, SCC, STJ, LCC, PDC</t>
  </si>
  <si>
    <t>Earth Day - WRV, WMC, SCC, STJ, LCC, PDC</t>
  </si>
  <si>
    <t>AZ Gives Day - WRV, WMC, Hopi</t>
  </si>
  <si>
    <t>National Poetry Month - WMC, SCC, LCC, PDC, Hopi</t>
  </si>
  <si>
    <t>Easter - Hopi</t>
  </si>
  <si>
    <t>Jazz Appreication Month - SCC, Hopi</t>
  </si>
  <si>
    <t xml:space="preserve">Janalda - Advisor Mtg, 2019 Job/Education Fair Outreach </t>
  </si>
  <si>
    <t>Grandparents raising youth workshop - Janalda</t>
  </si>
  <si>
    <t>Strengthening Families Workshop Outreach - Janalda</t>
  </si>
  <si>
    <t>Safe College Workshops completed by Daphne &amp; Denise</t>
  </si>
  <si>
    <t>Daphne - Proctoring online test committee (4/4)</t>
  </si>
  <si>
    <t>Daphne, Luann, Denise - All College WebExt Mtg (4/23)</t>
  </si>
  <si>
    <t xml:space="preserve">Denise - Eagle Fest (4/13) - library display including presentation on </t>
  </si>
  <si>
    <t xml:space="preserve">library website, opened one library account, </t>
  </si>
  <si>
    <t>handed out National Library week bookmarks</t>
  </si>
  <si>
    <t>VET access @ WMC = 40</t>
  </si>
  <si>
    <t>Veteran's Center @ WMC = 28</t>
  </si>
  <si>
    <t>Daphne - Iron Graduation gowns (5/3)</t>
  </si>
  <si>
    <t>Ad hoc committee proctoring online test - Daphne (5/2, 5/9), Stan (5/9)</t>
  </si>
  <si>
    <t>Kyle Tucker lasted day as FWS (5/10/19)</t>
  </si>
  <si>
    <t>Dean's Meeting - Stan (5/28)</t>
  </si>
  <si>
    <t>Denise &amp; Daphne - WRV Sister Visit &amp; Inventory (5/16)</t>
  </si>
  <si>
    <t xml:space="preserve">May Days, Memorial Day, Western DVD's, Graduation, </t>
  </si>
  <si>
    <t xml:space="preserve">Drama DVD's, Red Cross Month, Love of Adventures, </t>
  </si>
  <si>
    <r>
      <t xml:space="preserve">Mother's Day - </t>
    </r>
    <r>
      <rPr>
        <b/>
        <sz val="11"/>
        <color theme="1"/>
        <rFont val="Calibri"/>
        <family val="2"/>
        <scheme val="minor"/>
      </rPr>
      <t>Hopi</t>
    </r>
  </si>
  <si>
    <r>
      <t xml:space="preserve">Color Away Stress, National Inventors Month = </t>
    </r>
    <r>
      <rPr>
        <b/>
        <sz val="11"/>
        <color theme="1"/>
        <rFont val="Calibri"/>
        <family val="2"/>
        <scheme val="minor"/>
      </rPr>
      <t>WMC</t>
    </r>
  </si>
  <si>
    <r>
      <t xml:space="preserve">Children's Book Week, Summer Reading, Astronomy Week = </t>
    </r>
    <r>
      <rPr>
        <b/>
        <sz val="11"/>
        <color theme="1"/>
        <rFont val="Calibri"/>
        <family val="2"/>
        <scheme val="minor"/>
      </rPr>
      <t>SCC</t>
    </r>
  </si>
  <si>
    <r>
      <t xml:space="preserve">Read/Return/Repeat, May is…., Military Appreciation = </t>
    </r>
    <r>
      <rPr>
        <b/>
        <sz val="11"/>
        <color theme="1"/>
        <rFont val="Calibri"/>
        <family val="2"/>
        <scheme val="minor"/>
      </rPr>
      <t>PDC</t>
    </r>
  </si>
  <si>
    <r>
      <t>Memorial Day, May the 4th, Cinco de Mayo, Inventors =</t>
    </r>
    <r>
      <rPr>
        <b/>
        <sz val="11"/>
        <color theme="1"/>
        <rFont val="Calibri"/>
        <family val="2"/>
        <scheme val="minor"/>
      </rPr>
      <t xml:space="preserve"> LCC</t>
    </r>
  </si>
  <si>
    <r>
      <t xml:space="preserve">Mental Health Awareness, NPC Commencement, Mother's Day = </t>
    </r>
    <r>
      <rPr>
        <b/>
        <sz val="11"/>
        <color theme="1"/>
        <rFont val="Calibri"/>
        <family val="2"/>
        <scheme val="minor"/>
      </rPr>
      <t>WRV</t>
    </r>
  </si>
  <si>
    <t>Veteran usage @ WMC = 26</t>
  </si>
  <si>
    <t>Daphne - Excel Conference (6/4)</t>
  </si>
  <si>
    <t>Daphne &amp; Denise - All College Forum (6/14)</t>
  </si>
  <si>
    <t>WMC = June Days, Camping Month, Travel AZ</t>
  </si>
  <si>
    <t>Early closure @ PDC due to no electricity (6/18)</t>
  </si>
  <si>
    <t>New Carpet @ PDC</t>
  </si>
  <si>
    <t>New Public/student computer at all  libraries</t>
  </si>
  <si>
    <t>Stan - Dean's Mtg (6/11, 6/25)</t>
  </si>
  <si>
    <t>PDC - "You belong @ your library", "We're here for you"</t>
  </si>
  <si>
    <t>WRV Library Staff shelving practice</t>
  </si>
  <si>
    <t>SCC = Children's Book, Summer Reading Fun, Park &amp; Recreation Month</t>
  </si>
  <si>
    <t>6/3/19 - Gel fish cards - 55 children, 26 adults</t>
  </si>
  <si>
    <t>6/10/19 - Spiral pop-up cards - 70 children, 29 adults</t>
  </si>
  <si>
    <t>6/17/19 - Heart pop-up cards - 47 children, 18 adults</t>
  </si>
  <si>
    <t>6/24/19 - Explosion boxes - 63 children, 29 adults</t>
  </si>
  <si>
    <t>Luann - STEM in Motion: libraries and the maker movement class</t>
  </si>
  <si>
    <t>Rhydon Johansen - Temp at SCC Library - 6/7/19</t>
  </si>
  <si>
    <t>Discovery Nest @ SCC Library (3rd summer)</t>
  </si>
  <si>
    <t>Chelsey Anchondon last day 6/18/19 (SCC)</t>
  </si>
  <si>
    <t>Regina Foshee last day 6/28/19 (SCC)</t>
  </si>
  <si>
    <t>Cynthia Smith last day 6/27/19 (LCC)</t>
  </si>
  <si>
    <t>Tomi Jensen - Temp at LCC Lib - 6/28/19</t>
  </si>
  <si>
    <t xml:space="preserve">New printer at LCC </t>
  </si>
  <si>
    <t>Susan Jensen - training with Everett on DRUPAL for Archives (6/26)</t>
  </si>
  <si>
    <t>End of fiscal year count - all libraries</t>
  </si>
  <si>
    <t xml:space="preserve">Governement document weeding continues </t>
  </si>
  <si>
    <t>Collections Letter</t>
  </si>
  <si>
    <t>Statistics may be inaccurate due to IS/Pharos maintenance this month.</t>
  </si>
  <si>
    <t xml:space="preserve">Daphne &amp; Stan - measurements of existing library </t>
  </si>
  <si>
    <t>for new building requests (6/18)</t>
  </si>
  <si>
    <t xml:space="preserve">Superhero DVD's, Summer Movie Fun, </t>
  </si>
  <si>
    <t>Family Vacation Puzzle, Cancer Awareness</t>
  </si>
  <si>
    <t>WMC, Hopi, WRV - World Environment</t>
  </si>
  <si>
    <t>WRV = Father's Day, Great Outdoors</t>
  </si>
  <si>
    <t>WMC, Hopi, LCC - Flag Day</t>
  </si>
  <si>
    <t>LCC - Audiobook month, D-day, Family Fun DVD's/CAS</t>
  </si>
  <si>
    <t>Hopi - Alzheimers, Father's Day</t>
  </si>
  <si>
    <t>Janalda - Advisors MTG</t>
  </si>
  <si>
    <t>E magazine (Flipster)</t>
  </si>
  <si>
    <t># of computers on Pharos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</si>
</sst>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.5"/>
      <color theme="1"/>
      <name val="Calibri"/>
      <family val="2"/>
      <scheme val="minor"/>
    </font>
    <font>
      <b/>
      <sz val="8"/>
      <name val="Arial"/>
      <family val="2"/>
    </font>
    <font>
      <sz val="7"/>
      <color theme="1"/>
      <name val="Calibri"/>
      <family val="2"/>
      <scheme val="minor"/>
    </font>
    <font>
      <i/>
      <sz val="8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ADE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F5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D79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3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4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0" xfId="0" applyFont="1" applyFill="1" applyBorder="1"/>
    <xf numFmtId="0" fontId="4" fillId="0" borderId="0" xfId="0" applyFont="1" applyBorder="1"/>
    <xf numFmtId="0" fontId="0" fillId="0" borderId="6" xfId="0" applyBorder="1"/>
    <xf numFmtId="0" fontId="3" fillId="0" borderId="7" xfId="0" applyFont="1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0" xfId="0" applyFont="1"/>
    <xf numFmtId="0" fontId="3" fillId="2" borderId="9" xfId="0" applyFont="1" applyFill="1" applyBorder="1"/>
    <xf numFmtId="0" fontId="3" fillId="2" borderId="10" xfId="0" applyFont="1" applyFill="1" applyBorder="1"/>
    <xf numFmtId="3" fontId="0" fillId="0" borderId="11" xfId="0" applyNumberFormat="1" applyBorder="1"/>
    <xf numFmtId="49" fontId="0" fillId="0" borderId="0" xfId="0" applyNumberFormat="1" applyBorder="1"/>
    <xf numFmtId="0" fontId="3" fillId="0" borderId="0" xfId="0" applyFont="1" applyBorder="1"/>
    <xf numFmtId="3" fontId="0" fillId="0" borderId="0" xfId="0" applyNumberFormat="1" applyBorder="1"/>
    <xf numFmtId="17" fontId="3" fillId="0" borderId="0" xfId="0" applyNumberFormat="1" applyFont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Fill="1" applyBorder="1"/>
    <xf numFmtId="0" fontId="0" fillId="0" borderId="5" xfId="0" applyBorder="1"/>
    <xf numFmtId="0" fontId="4" fillId="0" borderId="5" xfId="0" applyFont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/>
    <xf numFmtId="0" fontId="3" fillId="0" borderId="3" xfId="0" applyFont="1" applyBorder="1"/>
    <xf numFmtId="0" fontId="3" fillId="0" borderId="6" xfId="0" applyFont="1" applyBorder="1"/>
    <xf numFmtId="0" fontId="0" fillId="0" borderId="9" xfId="0" applyBorder="1"/>
    <xf numFmtId="0" fontId="4" fillId="0" borderId="9" xfId="0" applyFont="1" applyBorder="1"/>
    <xf numFmtId="0" fontId="4" fillId="2" borderId="2" xfId="0" applyFont="1" applyFill="1" applyBorder="1"/>
    <xf numFmtId="0" fontId="3" fillId="0" borderId="2" xfId="0" applyFont="1" applyBorder="1" applyAlignment="1">
      <alignment horizontal="center"/>
    </xf>
    <xf numFmtId="0" fontId="4" fillId="0" borderId="7" xfId="0" applyFont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0" borderId="8" xfId="0" applyFont="1" applyBorder="1"/>
    <xf numFmtId="0" fontId="0" fillId="2" borderId="7" xfId="0" applyFill="1" applyBorder="1"/>
    <xf numFmtId="3" fontId="0" fillId="0" borderId="0" xfId="0" applyNumberFormat="1"/>
    <xf numFmtId="0" fontId="3" fillId="2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0" xfId="0" applyFont="1" applyFill="1" applyBorder="1"/>
    <xf numFmtId="0" fontId="0" fillId="3" borderId="0" xfId="0" applyFill="1" applyBorder="1"/>
    <xf numFmtId="0" fontId="0" fillId="5" borderId="8" xfId="0" applyFill="1" applyBorder="1"/>
    <xf numFmtId="0" fontId="0" fillId="5" borderId="0" xfId="0" applyFill="1" applyBorder="1"/>
    <xf numFmtId="0" fontId="3" fillId="0" borderId="0" xfId="0" applyFont="1" applyFill="1" applyBorder="1"/>
    <xf numFmtId="0" fontId="4" fillId="0" borderId="11" xfId="0" applyFont="1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  <xf numFmtId="49" fontId="0" fillId="0" borderId="2" xfId="0" applyNumberFormat="1" applyBorder="1"/>
    <xf numFmtId="49" fontId="0" fillId="0" borderId="2" xfId="0" applyNumberForma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0" fillId="0" borderId="3" xfId="0" applyNumberFormat="1" applyBorder="1"/>
    <xf numFmtId="49" fontId="0" fillId="0" borderId="4" xfId="0" applyNumberFormat="1" applyBorder="1" applyAlignment="1">
      <alignment horizontal="left" indent="1"/>
    </xf>
    <xf numFmtId="49" fontId="0" fillId="0" borderId="0" xfId="0" applyNumberFormat="1" applyFill="1" applyBorder="1" applyAlignment="1">
      <alignment horizontal="center"/>
    </xf>
    <xf numFmtId="49" fontId="4" fillId="0" borderId="0" xfId="0" applyNumberFormat="1" applyFont="1" applyBorder="1" applyAlignment="1">
      <alignment horizontal="left" indent="1"/>
    </xf>
    <xf numFmtId="49" fontId="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3" fillId="0" borderId="4" xfId="0" applyNumberFormat="1" applyFont="1" applyBorder="1"/>
    <xf numFmtId="49" fontId="3" fillId="0" borderId="0" xfId="0" applyNumberFormat="1" applyFont="1" applyBorder="1"/>
    <xf numFmtId="49" fontId="4" fillId="0" borderId="4" xfId="0" applyNumberFormat="1" applyFont="1" applyBorder="1" applyAlignment="1">
      <alignment horizontal="left" indent="1"/>
    </xf>
    <xf numFmtId="49" fontId="4" fillId="0" borderId="4" xfId="0" applyNumberFormat="1" applyFont="1" applyFill="1" applyBorder="1" applyAlignment="1">
      <alignment horizontal="left" indent="1"/>
    </xf>
    <xf numFmtId="49" fontId="4" fillId="0" borderId="0" xfId="0" applyNumberFormat="1" applyFont="1" applyBorder="1"/>
    <xf numFmtId="49" fontId="4" fillId="0" borderId="0" xfId="0" applyNumberFormat="1" applyFont="1" applyFill="1" applyBorder="1" applyAlignment="1">
      <alignment horizontal="center"/>
    </xf>
    <xf numFmtId="49" fontId="0" fillId="0" borderId="5" xfId="0" applyNumberFormat="1" applyBorder="1"/>
    <xf numFmtId="49" fontId="4" fillId="0" borderId="0" xfId="0" applyNumberFormat="1" applyFon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indent="2"/>
    </xf>
    <xf numFmtId="49" fontId="4" fillId="0" borderId="6" xfId="0" applyNumberFormat="1" applyFont="1" applyBorder="1"/>
    <xf numFmtId="49" fontId="0" fillId="0" borderId="7" xfId="0" applyNumberFormat="1" applyBorder="1"/>
    <xf numFmtId="49" fontId="4" fillId="0" borderId="7" xfId="0" applyNumberFormat="1" applyFont="1" applyBorder="1"/>
    <xf numFmtId="49" fontId="4" fillId="0" borderId="7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left" indent="1"/>
    </xf>
    <xf numFmtId="49" fontId="2" fillId="0" borderId="7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8" xfId="0" applyNumberFormat="1" applyBorder="1"/>
    <xf numFmtId="164" fontId="0" fillId="0" borderId="0" xfId="0" applyNumberFormat="1" applyBorder="1"/>
    <xf numFmtId="0" fontId="6" fillId="0" borderId="4" xfId="0" applyFont="1" applyFill="1" applyBorder="1"/>
    <xf numFmtId="0" fontId="5" fillId="0" borderId="0" xfId="0" applyFont="1" applyFill="1" applyBorder="1"/>
    <xf numFmtId="0" fontId="3" fillId="0" borderId="0" xfId="0" applyFont="1" applyBorder="1" applyAlignment="1">
      <alignment horizontal="center"/>
    </xf>
    <xf numFmtId="0" fontId="8" fillId="0" borderId="7" xfId="0" applyFont="1" applyFill="1" applyBorder="1"/>
    <xf numFmtId="0" fontId="7" fillId="0" borderId="7" xfId="0" applyFont="1" applyFill="1" applyBorder="1"/>
    <xf numFmtId="0" fontId="0" fillId="0" borderId="0" xfId="0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3" fontId="0" fillId="6" borderId="12" xfId="0" applyNumberFormat="1" applyFont="1" applyFill="1" applyBorder="1" applyAlignment="1">
      <alignment horizontal="center" vertical="center" wrapText="1"/>
    </xf>
    <xf numFmtId="3" fontId="0" fillId="7" borderId="12" xfId="0" applyNumberFormat="1" applyFont="1" applyFill="1" applyBorder="1" applyAlignment="1">
      <alignment horizontal="center" vertical="center" wrapText="1"/>
    </xf>
    <xf numFmtId="3" fontId="0" fillId="8" borderId="12" xfId="0" applyNumberFormat="1" applyFont="1" applyFill="1" applyBorder="1" applyAlignment="1">
      <alignment horizontal="center" vertical="center" wrapText="1"/>
    </xf>
    <xf numFmtId="3" fontId="9" fillId="9" borderId="12" xfId="0" applyNumberFormat="1" applyFont="1" applyFill="1" applyBorder="1" applyAlignment="1">
      <alignment horizontal="center" vertical="center" wrapText="1"/>
    </xf>
    <xf numFmtId="3" fontId="0" fillId="9" borderId="12" xfId="0" applyNumberFormat="1" applyFont="1" applyFill="1" applyBorder="1" applyAlignment="1">
      <alignment horizontal="center" vertical="center" wrapText="1"/>
    </xf>
    <xf numFmtId="3" fontId="0" fillId="10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3" fontId="0" fillId="11" borderId="12" xfId="0" applyNumberFormat="1" applyFont="1" applyFill="1" applyBorder="1" applyAlignment="1">
      <alignment horizontal="center" vertical="center" wrapText="1"/>
    </xf>
    <xf numFmtId="3" fontId="9" fillId="12" borderId="12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4" fillId="0" borderId="4" xfId="0" applyNumberFormat="1" applyFont="1" applyBorder="1" applyAlignment="1">
      <alignment horizontal="left" indent="2"/>
    </xf>
    <xf numFmtId="0" fontId="0" fillId="0" borderId="12" xfId="0" applyBorder="1"/>
    <xf numFmtId="0" fontId="0" fillId="0" borderId="12" xfId="0" applyFill="1" applyBorder="1"/>
    <xf numFmtId="0" fontId="0" fillId="0" borderId="18" xfId="0" applyBorder="1"/>
    <xf numFmtId="0" fontId="7" fillId="12" borderId="9" xfId="0" applyFont="1" applyFill="1" applyBorder="1"/>
    <xf numFmtId="0" fontId="7" fillId="12" borderId="10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Fill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12" borderId="3" xfId="0" applyFont="1" applyFill="1" applyBorder="1"/>
    <xf numFmtId="0" fontId="6" fillId="0" borderId="0" xfId="0" applyFont="1" applyFill="1" applyBorder="1"/>
    <xf numFmtId="0" fontId="7" fillId="12" borderId="11" xfId="0" applyFont="1" applyFill="1" applyBorder="1"/>
    <xf numFmtId="3" fontId="0" fillId="0" borderId="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3" fillId="0" borderId="10" xfId="0" applyFont="1" applyBorder="1"/>
    <xf numFmtId="0" fontId="3" fillId="5" borderId="0" xfId="0" applyFont="1" applyFill="1" applyBorder="1" applyAlignment="1">
      <alignment horizontal="center"/>
    </xf>
    <xf numFmtId="0" fontId="4" fillId="5" borderId="0" xfId="0" applyFont="1" applyFill="1" applyBorder="1"/>
    <xf numFmtId="164" fontId="0" fillId="0" borderId="0" xfId="0" applyNumberFormat="1" applyFill="1" applyBorder="1"/>
    <xf numFmtId="0" fontId="3" fillId="5" borderId="5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1"/>
    </xf>
    <xf numFmtId="0" fontId="3" fillId="0" borderId="17" xfId="0" applyFont="1" applyFill="1" applyBorder="1"/>
    <xf numFmtId="0" fontId="3" fillId="0" borderId="16" xfId="0" applyFont="1" applyFill="1" applyBorder="1"/>
    <xf numFmtId="0" fontId="3" fillId="0" borderId="10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5" borderId="5" xfId="0" applyFill="1" applyBorder="1"/>
    <xf numFmtId="0" fontId="0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6" xfId="0" applyBorder="1"/>
    <xf numFmtId="0" fontId="0" fillId="0" borderId="21" xfId="0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13" borderId="1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5" borderId="0" xfId="0" applyFont="1" applyFill="1" applyBorder="1" applyAlignment="1"/>
    <xf numFmtId="0" fontId="3" fillId="5" borderId="5" xfId="0" applyFont="1" applyFill="1" applyBorder="1" applyAlignment="1"/>
    <xf numFmtId="3" fontId="0" fillId="15" borderId="26" xfId="0" applyNumberFormat="1" applyFont="1" applyFill="1" applyBorder="1" applyAlignment="1">
      <alignment horizontal="center" vertical="center" wrapText="1"/>
    </xf>
    <xf numFmtId="3" fontId="0" fillId="6" borderId="9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0" fillId="0" borderId="4" xfId="0" applyBorder="1" applyAlignment="1">
      <alignment horizontal="left" indent="1"/>
    </xf>
    <xf numFmtId="0" fontId="3" fillId="0" borderId="2" xfId="0" applyFont="1" applyBorder="1" applyAlignment="1">
      <alignment horizontal="center"/>
    </xf>
    <xf numFmtId="0" fontId="3" fillId="0" borderId="9" xfId="0" applyFont="1" applyFill="1" applyBorder="1" applyAlignment="1">
      <alignment horizontal="left" indent="1"/>
    </xf>
    <xf numFmtId="49" fontId="4" fillId="0" borderId="0" xfId="0" applyNumberFormat="1" applyFont="1" applyBorder="1" applyAlignment="1">
      <alignment horizontal="left" indent="2"/>
    </xf>
    <xf numFmtId="44" fontId="0" fillId="0" borderId="12" xfId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left" indent="3"/>
    </xf>
    <xf numFmtId="0" fontId="10" fillId="0" borderId="0" xfId="0" applyFont="1" applyBorder="1"/>
    <xf numFmtId="0" fontId="10" fillId="0" borderId="9" xfId="0" applyFont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3" fillId="12" borderId="9" xfId="0" applyFont="1" applyFill="1" applyBorder="1"/>
    <xf numFmtId="0" fontId="13" fillId="0" borderId="0" xfId="0" applyFont="1" applyBorder="1" applyAlignment="1"/>
    <xf numFmtId="0" fontId="13" fillId="5" borderId="0" xfId="0" applyFont="1" applyFill="1" applyBorder="1" applyAlignment="1"/>
    <xf numFmtId="0" fontId="10" fillId="0" borderId="7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2" xfId="0" applyFont="1" applyBorder="1"/>
    <xf numFmtId="0" fontId="14" fillId="0" borderId="9" xfId="0" applyFont="1" applyBorder="1"/>
    <xf numFmtId="0" fontId="16" fillId="0" borderId="7" xfId="0" applyFont="1" applyBorder="1" applyAlignment="1">
      <alignment horizontal="center"/>
    </xf>
    <xf numFmtId="0" fontId="17" fillId="0" borderId="4" xfId="0" applyFont="1" applyBorder="1"/>
    <xf numFmtId="49" fontId="16" fillId="0" borderId="0" xfId="0" applyNumberFormat="1" applyFont="1" applyFill="1" applyBorder="1" applyAlignment="1">
      <alignment horizontal="left" indent="1"/>
    </xf>
    <xf numFmtId="0" fontId="18" fillId="0" borderId="9" xfId="0" applyFont="1" applyBorder="1"/>
    <xf numFmtId="49" fontId="0" fillId="0" borderId="0" xfId="0" applyNumberFormat="1" applyBorder="1" applyAlignment="1">
      <alignment horizontal="left" indent="1"/>
    </xf>
    <xf numFmtId="0" fontId="0" fillId="0" borderId="0" xfId="0" applyBorder="1" applyAlignment="1"/>
    <xf numFmtId="0" fontId="15" fillId="0" borderId="7" xfId="0" applyFont="1" applyFill="1" applyBorder="1" applyAlignment="1">
      <alignment horizontal="center"/>
    </xf>
    <xf numFmtId="0" fontId="19" fillId="0" borderId="0" xfId="0" applyFont="1" applyBorder="1" applyAlignment="1"/>
    <xf numFmtId="0" fontId="13" fillId="2" borderId="9" xfId="0" applyFont="1" applyFill="1" applyBorder="1"/>
    <xf numFmtId="0" fontId="4" fillId="2" borderId="10" xfId="0" applyFont="1" applyFill="1" applyBorder="1"/>
    <xf numFmtId="0" fontId="0" fillId="2" borderId="11" xfId="0" applyFill="1" applyBorder="1"/>
    <xf numFmtId="0" fontId="0" fillId="2" borderId="10" xfId="0" applyFill="1" applyBorder="1"/>
    <xf numFmtId="0" fontId="0" fillId="0" borderId="10" xfId="0" applyBorder="1"/>
    <xf numFmtId="0" fontId="7" fillId="16" borderId="9" xfId="0" applyFont="1" applyFill="1" applyBorder="1"/>
    <xf numFmtId="0" fontId="7" fillId="16" borderId="11" xfId="0" applyFont="1" applyFill="1" applyBorder="1"/>
    <xf numFmtId="0" fontId="0" fillId="16" borderId="12" xfId="0" applyFill="1" applyBorder="1"/>
    <xf numFmtId="0" fontId="15" fillId="0" borderId="9" xfId="0" applyFont="1" applyBorder="1"/>
    <xf numFmtId="0" fontId="1" fillId="14" borderId="12" xfId="0" applyFont="1" applyFill="1" applyBorder="1" applyAlignment="1">
      <alignment horizontal="center"/>
    </xf>
    <xf numFmtId="0" fontId="0" fillId="0" borderId="17" xfId="0" applyBorder="1"/>
    <xf numFmtId="0" fontId="3" fillId="0" borderId="21" xfId="0" applyFont="1" applyBorder="1"/>
    <xf numFmtId="0" fontId="17" fillId="0" borderId="7" xfId="0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21" fillId="0" borderId="0" xfId="0" applyFont="1" applyBorder="1"/>
    <xf numFmtId="0" fontId="3" fillId="2" borderId="5" xfId="0" applyFont="1" applyFill="1" applyBorder="1"/>
    <xf numFmtId="0" fontId="0" fillId="2" borderId="8" xfId="0" applyFill="1" applyBorder="1"/>
    <xf numFmtId="0" fontId="19" fillId="2" borderId="9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/>
    <xf numFmtId="0" fontId="14" fillId="0" borderId="1" xfId="0" applyFont="1" applyBorder="1"/>
    <xf numFmtId="49" fontId="4" fillId="0" borderId="7" xfId="0" applyNumberFormat="1" applyFont="1" applyFill="1" applyBorder="1" applyAlignment="1">
      <alignment horizontal="left" indent="1"/>
    </xf>
    <xf numFmtId="0" fontId="16" fillId="0" borderId="9" xfId="0" applyFont="1" applyBorder="1"/>
    <xf numFmtId="3" fontId="0" fillId="0" borderId="8" xfId="0" applyNumberFormat="1" applyFont="1" applyBorder="1" applyAlignment="1">
      <alignment horizontal="center" vertical="center"/>
    </xf>
    <xf numFmtId="3" fontId="0" fillId="13" borderId="12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10" fillId="0" borderId="3" xfId="0" applyFont="1" applyBorder="1"/>
    <xf numFmtId="0" fontId="22" fillId="0" borderId="9" xfId="0" applyFont="1" applyBorder="1"/>
    <xf numFmtId="0" fontId="17" fillId="0" borderId="0" xfId="0" applyFont="1" applyBorder="1"/>
    <xf numFmtId="49" fontId="4" fillId="0" borderId="4" xfId="0" applyNumberFormat="1" applyFont="1" applyFill="1" applyBorder="1" applyAlignment="1">
      <alignment horizontal="left" indent="2"/>
    </xf>
    <xf numFmtId="3" fontId="15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/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0" fillId="0" borderId="2" xfId="0" applyFill="1" applyBorder="1"/>
    <xf numFmtId="0" fontId="0" fillId="0" borderId="17" xfId="0" applyBorder="1" applyAlignment="1">
      <alignment horizontal="center"/>
    </xf>
    <xf numFmtId="49" fontId="24" fillId="0" borderId="0" xfId="0" applyNumberFormat="1" applyFont="1" applyBorder="1"/>
    <xf numFmtId="0" fontId="24" fillId="0" borderId="4" xfId="0" applyFont="1" applyBorder="1" applyAlignment="1">
      <alignment horizontal="left" indent="1"/>
    </xf>
    <xf numFmtId="49" fontId="24" fillId="0" borderId="0" xfId="0" applyNumberFormat="1" applyFont="1" applyFill="1" applyBorder="1" applyAlignment="1">
      <alignment horizontal="left"/>
    </xf>
    <xf numFmtId="0" fontId="24" fillId="0" borderId="0" xfId="0" applyFont="1" applyBorder="1"/>
    <xf numFmtId="49" fontId="24" fillId="0" borderId="0" xfId="0" applyNumberFormat="1" applyFont="1" applyFill="1" applyBorder="1" applyAlignment="1">
      <alignment horizontal="center"/>
    </xf>
    <xf numFmtId="0" fontId="0" fillId="5" borderId="16" xfId="0" applyFill="1" applyBorder="1"/>
    <xf numFmtId="49" fontId="0" fillId="0" borderId="6" xfId="0" applyNumberFormat="1" applyBorder="1"/>
    <xf numFmtId="0" fontId="0" fillId="0" borderId="0" xfId="0" applyAlignment="1">
      <alignment horizontal="left" indent="1"/>
    </xf>
    <xf numFmtId="0" fontId="0" fillId="0" borderId="4" xfId="0" applyFont="1" applyBorder="1" applyAlignment="1">
      <alignment horizontal="left" indent="1"/>
    </xf>
    <xf numFmtId="49" fontId="26" fillId="0" borderId="0" xfId="0" applyNumberFormat="1" applyFont="1" applyFill="1" applyBorder="1" applyAlignment="1">
      <alignment horizontal="center"/>
    </xf>
    <xf numFmtId="49" fontId="0" fillId="0" borderId="0" xfId="0" applyNumberFormat="1" applyFont="1" applyBorder="1"/>
    <xf numFmtId="49" fontId="0" fillId="0" borderId="2" xfId="0" applyNumberFormat="1" applyFont="1" applyBorder="1"/>
    <xf numFmtId="49" fontId="0" fillId="0" borderId="2" xfId="0" applyNumberFormat="1" applyFont="1" applyFill="1" applyBorder="1" applyAlignment="1">
      <alignment horizontal="center"/>
    </xf>
    <xf numFmtId="49" fontId="0" fillId="0" borderId="3" xfId="0" applyNumberFormat="1" applyFont="1" applyBorder="1"/>
    <xf numFmtId="0" fontId="0" fillId="0" borderId="0" xfId="0" applyFo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49" fontId="0" fillId="0" borderId="5" xfId="0" applyNumberFormat="1" applyFont="1" applyBorder="1"/>
    <xf numFmtId="49" fontId="0" fillId="0" borderId="0" xfId="0" applyNumberFormat="1" applyFont="1" applyFill="1" applyBorder="1" applyAlignment="1">
      <alignment horizontal="left"/>
    </xf>
    <xf numFmtId="49" fontId="26" fillId="0" borderId="1" xfId="0" applyNumberFormat="1" applyFont="1" applyBorder="1"/>
    <xf numFmtId="49" fontId="26" fillId="0" borderId="2" xfId="0" applyNumberFormat="1" applyFont="1" applyBorder="1"/>
    <xf numFmtId="49" fontId="25" fillId="0" borderId="2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left" indent="1"/>
    </xf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49" fontId="26" fillId="0" borderId="4" xfId="0" applyNumberFormat="1" applyFont="1" applyBorder="1"/>
    <xf numFmtId="49" fontId="11" fillId="0" borderId="4" xfId="0" applyNumberFormat="1" applyFont="1" applyBorder="1" applyAlignment="1">
      <alignment horizontal="left" indent="1"/>
    </xf>
    <xf numFmtId="49" fontId="26" fillId="0" borderId="0" xfId="0" applyNumberFormat="1" applyFont="1" applyBorder="1"/>
    <xf numFmtId="49" fontId="11" fillId="0" borderId="4" xfId="0" applyNumberFormat="1" applyFont="1" applyFill="1" applyBorder="1" applyAlignment="1">
      <alignment horizontal="left" indent="1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>
      <alignment horizontal="left" indent="1"/>
    </xf>
    <xf numFmtId="49" fontId="10" fillId="0" borderId="0" xfId="0" applyNumberFormat="1" applyFont="1" applyBorder="1"/>
    <xf numFmtId="49" fontId="26" fillId="0" borderId="4" xfId="0" applyNumberFormat="1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9" fontId="11" fillId="0" borderId="6" xfId="0" applyNumberFormat="1" applyFont="1" applyBorder="1"/>
    <xf numFmtId="49" fontId="11" fillId="0" borderId="7" xfId="0" applyNumberFormat="1" applyFont="1" applyBorder="1"/>
    <xf numFmtId="49" fontId="11" fillId="0" borderId="7" xfId="0" applyNumberFormat="1" applyFont="1" applyFill="1" applyBorder="1" applyAlignment="1">
      <alignment horizontal="left"/>
    </xf>
    <xf numFmtId="49" fontId="26" fillId="0" borderId="7" xfId="0" applyNumberFormat="1" applyFont="1" applyFill="1" applyBorder="1" applyAlignment="1">
      <alignment horizontal="left"/>
    </xf>
    <xf numFmtId="49" fontId="10" fillId="0" borderId="4" xfId="0" applyNumberFormat="1" applyFont="1" applyBorder="1" applyAlignment="1">
      <alignment horizontal="left" indent="1"/>
    </xf>
    <xf numFmtId="0" fontId="10" fillId="0" borderId="0" xfId="0" applyFont="1"/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left"/>
    </xf>
    <xf numFmtId="0" fontId="10" fillId="0" borderId="4" xfId="0" applyFont="1" applyBorder="1"/>
    <xf numFmtId="49" fontId="10" fillId="0" borderId="0" xfId="0" applyNumberFormat="1" applyFont="1" applyFill="1" applyBorder="1" applyAlignment="1">
      <alignment horizontal="left"/>
    </xf>
    <xf numFmtId="49" fontId="10" fillId="0" borderId="5" xfId="0" applyNumberFormat="1" applyFont="1" applyBorder="1"/>
    <xf numFmtId="0" fontId="10" fillId="0" borderId="5" xfId="0" applyFont="1" applyBorder="1"/>
    <xf numFmtId="49" fontId="10" fillId="0" borderId="7" xfId="0" applyNumberFormat="1" applyFont="1" applyBorder="1"/>
    <xf numFmtId="49" fontId="10" fillId="0" borderId="7" xfId="0" applyNumberFormat="1" applyFont="1" applyBorder="1" applyAlignment="1">
      <alignment horizontal="left" indent="1"/>
    </xf>
    <xf numFmtId="49" fontId="10" fillId="0" borderId="7" xfId="0" applyNumberFormat="1" applyFont="1" applyBorder="1" applyAlignment="1">
      <alignment horizontal="left"/>
    </xf>
    <xf numFmtId="49" fontId="10" fillId="0" borderId="8" xfId="0" applyNumberFormat="1" applyFont="1" applyBorder="1"/>
    <xf numFmtId="49" fontId="11" fillId="0" borderId="0" xfId="0" applyNumberFormat="1" applyFont="1" applyFill="1" applyBorder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2"/>
    </xf>
    <xf numFmtId="49" fontId="0" fillId="0" borderId="4" xfId="0" applyNumberFormat="1" applyBorder="1" applyAlignment="1">
      <alignment horizontal="left" indent="2"/>
    </xf>
    <xf numFmtId="3" fontId="4" fillId="0" borderId="12" xfId="0" applyNumberFormat="1" applyFont="1" applyBorder="1" applyAlignment="1">
      <alignment horizontal="center"/>
    </xf>
    <xf numFmtId="165" fontId="0" fillId="0" borderId="12" xfId="2" applyNumberFormat="1" applyFont="1" applyFill="1" applyBorder="1" applyAlignment="1">
      <alignment horizontal="center"/>
    </xf>
    <xf numFmtId="37" fontId="0" fillId="0" borderId="12" xfId="2" applyNumberFormat="1" applyFont="1" applyFill="1" applyBorder="1" applyAlignment="1">
      <alignment horizontal="center" vertical="center"/>
    </xf>
    <xf numFmtId="37" fontId="0" fillId="0" borderId="12" xfId="2" applyNumberFormat="1" applyFont="1" applyBorder="1" applyAlignment="1">
      <alignment horizontal="center" vertical="center"/>
    </xf>
    <xf numFmtId="43" fontId="4" fillId="0" borderId="0" xfId="2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0" fontId="0" fillId="0" borderId="4" xfId="0" applyBorder="1" applyAlignment="1">
      <alignment horizontal="left" indent="2"/>
    </xf>
    <xf numFmtId="165" fontId="0" fillId="0" borderId="10" xfId="2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 indent="1"/>
    </xf>
    <xf numFmtId="0" fontId="1" fillId="0" borderId="0" xfId="0" applyFont="1" applyBorder="1"/>
    <xf numFmtId="49" fontId="4" fillId="0" borderId="6" xfId="0" applyNumberFormat="1" applyFont="1" applyBorder="1" applyAlignment="1">
      <alignment horizontal="left" indent="1"/>
    </xf>
    <xf numFmtId="49" fontId="0" fillId="0" borderId="7" xfId="0" applyNumberFormat="1" applyFill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3" fontId="0" fillId="13" borderId="19" xfId="0" applyNumberFormat="1" applyFont="1" applyFill="1" applyBorder="1" applyAlignment="1">
      <alignment horizontal="center" vertical="center" wrapText="1"/>
    </xf>
    <xf numFmtId="3" fontId="0" fillId="13" borderId="13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Border="1" applyAlignment="1">
      <alignment horizontal="center"/>
    </xf>
    <xf numFmtId="3" fontId="0" fillId="0" borderId="23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3" fontId="0" fillId="11" borderId="9" xfId="0" applyNumberFormat="1" applyFont="1" applyFill="1" applyBorder="1" applyAlignment="1">
      <alignment horizontal="center" vertical="center" wrapText="1"/>
    </xf>
    <xf numFmtId="3" fontId="0" fillId="11" borderId="11" xfId="0" applyNumberFormat="1" applyFont="1" applyFill="1" applyBorder="1" applyAlignment="1">
      <alignment horizontal="center" vertical="center" wrapText="1"/>
    </xf>
    <xf numFmtId="3" fontId="9" fillId="12" borderId="9" xfId="0" applyNumberFormat="1" applyFont="1" applyFill="1" applyBorder="1" applyAlignment="1">
      <alignment horizontal="center" vertical="center" wrapText="1"/>
    </xf>
    <xf numFmtId="3" fontId="9" fillId="12" borderId="11" xfId="0" applyNumberFormat="1" applyFont="1" applyFill="1" applyBorder="1" applyAlignment="1">
      <alignment horizontal="center" vertical="center" wrapText="1"/>
    </xf>
    <xf numFmtId="3" fontId="0" fillId="8" borderId="9" xfId="0" applyNumberFormat="1" applyFont="1" applyFill="1" applyBorder="1" applyAlignment="1">
      <alignment horizontal="center" vertical="center" wrapText="1"/>
    </xf>
    <xf numFmtId="3" fontId="0" fillId="8" borderId="11" xfId="0" applyNumberFormat="1" applyFont="1" applyFill="1" applyBorder="1" applyAlignment="1">
      <alignment horizontal="center" vertical="center" wrapText="1"/>
    </xf>
    <xf numFmtId="3" fontId="9" fillId="9" borderId="9" xfId="0" applyNumberFormat="1" applyFont="1" applyFill="1" applyBorder="1" applyAlignment="1">
      <alignment horizontal="center" vertical="center" wrapText="1"/>
    </xf>
    <xf numFmtId="3" fontId="9" fillId="9" borderId="11" xfId="0" applyNumberFormat="1" applyFont="1" applyFill="1" applyBorder="1" applyAlignment="1">
      <alignment horizontal="center" vertical="center" wrapText="1"/>
    </xf>
    <xf numFmtId="3" fontId="0" fillId="9" borderId="9" xfId="0" applyNumberFormat="1" applyFont="1" applyFill="1" applyBorder="1" applyAlignment="1">
      <alignment horizontal="center" vertical="center" wrapText="1"/>
    </xf>
    <xf numFmtId="3" fontId="0" fillId="9" borderId="11" xfId="0" applyNumberFormat="1" applyFont="1" applyFill="1" applyBorder="1" applyAlignment="1">
      <alignment horizontal="center" vertical="center" wrapText="1"/>
    </xf>
    <xf numFmtId="3" fontId="0" fillId="10" borderId="9" xfId="0" applyNumberFormat="1" applyFont="1" applyFill="1" applyBorder="1" applyAlignment="1">
      <alignment horizontal="center" vertical="center" wrapText="1"/>
    </xf>
    <xf numFmtId="3" fontId="0" fillId="10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3" fontId="1" fillId="14" borderId="2" xfId="0" applyNumberFormat="1" applyFont="1" applyFill="1" applyBorder="1" applyAlignment="1">
      <alignment horizontal="center" wrapText="1"/>
    </xf>
    <xf numFmtId="3" fontId="1" fillId="14" borderId="0" xfId="0" applyNumberFormat="1" applyFont="1" applyFill="1" applyBorder="1" applyAlignment="1">
      <alignment horizontal="center" wrapText="1"/>
    </xf>
    <xf numFmtId="3" fontId="1" fillId="14" borderId="7" xfId="0" applyNumberFormat="1" applyFont="1" applyFill="1" applyBorder="1" applyAlignment="1">
      <alignment horizontal="center" wrapText="1"/>
    </xf>
    <xf numFmtId="3" fontId="0" fillId="7" borderId="9" xfId="0" applyNumberFormat="1" applyFont="1" applyFill="1" applyBorder="1" applyAlignment="1">
      <alignment horizontal="center" vertical="center" wrapText="1"/>
    </xf>
    <xf numFmtId="3" fontId="0" fillId="7" borderId="11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/>
    </xf>
    <xf numFmtId="0" fontId="11" fillId="12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3" fontId="0" fillId="6" borderId="9" xfId="0" applyNumberFormat="1" applyFont="1" applyFill="1" applyBorder="1" applyAlignment="1">
      <alignment horizontal="center" vertical="center" wrapText="1"/>
    </xf>
    <xf numFmtId="3" fontId="0" fillId="6" borderId="11" xfId="0" applyNumberFormat="1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0" fillId="15" borderId="24" xfId="0" applyFont="1" applyFill="1" applyBorder="1" applyAlignment="1">
      <alignment horizontal="center" vertical="center" wrapText="1"/>
    </xf>
    <xf numFmtId="0" fontId="0" fillId="15" borderId="25" xfId="0" applyFont="1" applyFill="1" applyBorder="1" applyAlignment="1">
      <alignment horizontal="center" vertical="center" wrapText="1"/>
    </xf>
    <xf numFmtId="3" fontId="0" fillId="15" borderId="24" xfId="0" applyNumberFormat="1" applyFont="1" applyFill="1" applyBorder="1" applyAlignment="1">
      <alignment horizontal="center" vertical="center" wrapText="1"/>
    </xf>
    <xf numFmtId="3" fontId="0" fillId="15" borderId="2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indent="1"/>
    </xf>
    <xf numFmtId="0" fontId="3" fillId="0" borderId="11" xfId="0" applyFont="1" applyFill="1" applyBorder="1" applyAlignment="1">
      <alignment horizontal="left" indent="1"/>
    </xf>
    <xf numFmtId="3" fontId="0" fillId="0" borderId="4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Fill="1" applyBorder="1" applyAlignment="1">
      <alignment horizontal="left" vertical="center" wrapText="1"/>
    </xf>
    <xf numFmtId="0" fontId="23" fillId="17" borderId="9" xfId="0" applyFont="1" applyFill="1" applyBorder="1" applyAlignment="1">
      <alignment horizontal="center" vertical="center" wrapText="1"/>
    </xf>
    <xf numFmtId="0" fontId="23" fillId="17" borderId="11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3" fontId="1" fillId="14" borderId="17" xfId="0" applyNumberFormat="1" applyFont="1" applyFill="1" applyBorder="1" applyAlignment="1">
      <alignment horizontal="center" wrapText="1"/>
    </xf>
    <xf numFmtId="3" fontId="1" fillId="14" borderId="21" xfId="0" applyNumberFormat="1" applyFont="1" applyFill="1" applyBorder="1" applyAlignment="1">
      <alignment horizontal="center" wrapText="1"/>
    </xf>
    <xf numFmtId="3" fontId="1" fillId="14" borderId="16" xfId="0" applyNumberFormat="1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3" fontId="0" fillId="13" borderId="9" xfId="0" applyNumberFormat="1" applyFont="1" applyFill="1" applyBorder="1" applyAlignment="1">
      <alignment horizontal="center" vertical="center" wrapText="1"/>
    </xf>
    <xf numFmtId="3" fontId="0" fillId="13" borderId="1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3" fontId="0" fillId="0" borderId="22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24"/>
  <sheetViews>
    <sheetView topLeftCell="A71" workbookViewId="0">
      <selection activeCell="E20" sqref="E20"/>
    </sheetView>
  </sheetViews>
  <sheetFormatPr defaultRowHeight="14.4" x14ac:dyDescent="0.3"/>
  <cols>
    <col min="2" max="2" width="10.5546875" customWidth="1"/>
    <col min="3" max="3" width="10.33203125" customWidth="1"/>
    <col min="4" max="4" width="11" customWidth="1"/>
    <col min="5" max="5" width="10.44140625" customWidth="1"/>
    <col min="7" max="7" width="10.109375" customWidth="1"/>
    <col min="13" max="13" width="9.88671875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>
        <v>43282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37" t="s">
        <v>17</v>
      </c>
      <c r="D6" s="126">
        <v>80</v>
      </c>
      <c r="E6" s="126">
        <v>0</v>
      </c>
      <c r="F6" s="126">
        <v>149</v>
      </c>
      <c r="G6" s="127">
        <v>268</v>
      </c>
      <c r="H6" s="127">
        <v>80</v>
      </c>
      <c r="I6" s="127">
        <v>1</v>
      </c>
      <c r="J6" s="127">
        <v>4</v>
      </c>
      <c r="K6" s="127">
        <v>87</v>
      </c>
      <c r="L6" s="127">
        <v>58</v>
      </c>
      <c r="M6" s="127">
        <f>SUM(D6:L6)</f>
        <v>727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3">
      <c r="C8" s="38" t="s">
        <v>19</v>
      </c>
      <c r="D8" s="126">
        <v>1</v>
      </c>
      <c r="E8" s="126">
        <v>1</v>
      </c>
      <c r="F8" s="126">
        <v>17</v>
      </c>
      <c r="G8" s="126">
        <v>13</v>
      </c>
      <c r="H8" s="127">
        <v>18</v>
      </c>
      <c r="I8" s="127">
        <v>1</v>
      </c>
      <c r="J8" s="126">
        <v>0</v>
      </c>
      <c r="K8" s="126">
        <v>24</v>
      </c>
      <c r="L8" s="127">
        <v>0</v>
      </c>
      <c r="M8" s="127">
        <f>SUM(D8:L8)</f>
        <v>75</v>
      </c>
    </row>
    <row r="9" spans="2:15" x14ac:dyDescent="0.3">
      <c r="C9" s="38" t="s">
        <v>20</v>
      </c>
      <c r="D9" s="126">
        <v>6</v>
      </c>
      <c r="E9" s="126">
        <v>4</v>
      </c>
      <c r="F9" s="126">
        <v>19</v>
      </c>
      <c r="G9" s="126">
        <v>59</v>
      </c>
      <c r="H9" s="127">
        <v>21</v>
      </c>
      <c r="I9" s="126">
        <v>1</v>
      </c>
      <c r="J9" s="126">
        <v>2</v>
      </c>
      <c r="K9" s="126">
        <v>24</v>
      </c>
      <c r="L9" s="127">
        <v>4</v>
      </c>
      <c r="M9" s="127">
        <f>SUM(D9:L9)</f>
        <v>140</v>
      </c>
    </row>
    <row r="10" spans="2:15" x14ac:dyDescent="0.3">
      <c r="C10" s="38" t="s">
        <v>21</v>
      </c>
      <c r="D10" s="127">
        <v>145</v>
      </c>
      <c r="E10" s="126">
        <v>63</v>
      </c>
      <c r="F10" s="126">
        <v>278</v>
      </c>
      <c r="G10" s="126">
        <v>312</v>
      </c>
      <c r="H10" s="127">
        <v>159</v>
      </c>
      <c r="I10" s="126">
        <v>13</v>
      </c>
      <c r="J10" s="126">
        <v>10</v>
      </c>
      <c r="K10" s="126">
        <v>548</v>
      </c>
      <c r="L10" s="127">
        <v>171</v>
      </c>
      <c r="M10" s="127">
        <f>SUM(D10:L10)</f>
        <v>1699</v>
      </c>
    </row>
    <row r="11" spans="2:15" x14ac:dyDescent="0.3">
      <c r="C11" s="38" t="s">
        <v>12</v>
      </c>
      <c r="D11" s="127">
        <f t="shared" ref="D11:M11" si="0">SUM(D6:D10)</f>
        <v>233</v>
      </c>
      <c r="E11" s="126">
        <f t="shared" si="0"/>
        <v>68</v>
      </c>
      <c r="F11" s="127">
        <f t="shared" si="0"/>
        <v>464</v>
      </c>
      <c r="G11" s="127">
        <f t="shared" si="0"/>
        <v>652</v>
      </c>
      <c r="H11" s="127">
        <f t="shared" si="0"/>
        <v>279</v>
      </c>
      <c r="I11" s="126">
        <f t="shared" si="0"/>
        <v>16</v>
      </c>
      <c r="J11" s="126">
        <f t="shared" si="0"/>
        <v>16</v>
      </c>
      <c r="K11" s="126">
        <f t="shared" si="0"/>
        <v>683</v>
      </c>
      <c r="L11" s="126">
        <f t="shared" si="0"/>
        <v>235</v>
      </c>
      <c r="M11" s="127">
        <f t="shared" si="0"/>
        <v>2646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37" t="s">
        <v>24</v>
      </c>
      <c r="D16" s="126">
        <v>80</v>
      </c>
      <c r="E16" s="126">
        <v>3</v>
      </c>
      <c r="F16" s="126">
        <v>39</v>
      </c>
      <c r="G16" s="127">
        <v>183</v>
      </c>
      <c r="H16" s="127">
        <v>129</v>
      </c>
      <c r="I16" s="127">
        <v>30</v>
      </c>
      <c r="J16" s="127">
        <v>6</v>
      </c>
      <c r="K16" s="127">
        <v>148</v>
      </c>
      <c r="L16" s="127">
        <v>12</v>
      </c>
      <c r="M16" s="127">
        <f t="shared" ref="M16:M21" si="1">SUM(D16:L16)</f>
        <v>630</v>
      </c>
    </row>
    <row r="17" spans="2:13" x14ac:dyDescent="0.3">
      <c r="C17" s="38" t="s">
        <v>25</v>
      </c>
      <c r="D17" s="126">
        <v>11</v>
      </c>
      <c r="E17" s="126">
        <v>3</v>
      </c>
      <c r="F17" s="127">
        <v>15</v>
      </c>
      <c r="G17" s="126">
        <v>47</v>
      </c>
      <c r="H17" s="126">
        <v>53</v>
      </c>
      <c r="I17" s="126">
        <v>11</v>
      </c>
      <c r="J17" s="126">
        <v>1</v>
      </c>
      <c r="K17" s="126">
        <v>28</v>
      </c>
      <c r="L17" s="126">
        <v>2</v>
      </c>
      <c r="M17" s="127">
        <f t="shared" si="1"/>
        <v>171</v>
      </c>
    </row>
    <row r="18" spans="2:13" x14ac:dyDescent="0.3">
      <c r="C18" s="38" t="s">
        <v>26</v>
      </c>
      <c r="D18" s="126">
        <v>184</v>
      </c>
      <c r="E18" s="126">
        <v>128</v>
      </c>
      <c r="F18" s="126">
        <v>377</v>
      </c>
      <c r="G18" s="126">
        <v>232</v>
      </c>
      <c r="H18" s="127">
        <v>238</v>
      </c>
      <c r="I18" s="127">
        <v>6</v>
      </c>
      <c r="J18" s="126">
        <v>70</v>
      </c>
      <c r="K18" s="126">
        <v>171</v>
      </c>
      <c r="L18" s="127">
        <v>54</v>
      </c>
      <c r="M18" s="127">
        <f t="shared" si="1"/>
        <v>1460</v>
      </c>
    </row>
    <row r="19" spans="2:13" x14ac:dyDescent="0.3">
      <c r="C19" s="38" t="s">
        <v>27</v>
      </c>
      <c r="D19" s="126">
        <f>25+37</f>
        <v>62</v>
      </c>
      <c r="E19" s="126">
        <v>35</v>
      </c>
      <c r="F19" s="126">
        <v>36</v>
      </c>
      <c r="G19" s="126">
        <v>72</v>
      </c>
      <c r="H19" s="127">
        <v>43</v>
      </c>
      <c r="I19" s="126">
        <v>52</v>
      </c>
      <c r="J19" s="126">
        <v>5</v>
      </c>
      <c r="K19" s="126">
        <f>26+70</f>
        <v>96</v>
      </c>
      <c r="L19" s="127">
        <v>14</v>
      </c>
      <c r="M19" s="127">
        <f t="shared" si="1"/>
        <v>415</v>
      </c>
    </row>
    <row r="20" spans="2:13" x14ac:dyDescent="0.3">
      <c r="C20" s="38" t="s">
        <v>28</v>
      </c>
      <c r="D20" s="127">
        <f>D59</f>
        <v>40</v>
      </c>
      <c r="E20" s="127">
        <f t="shared" ref="E20:L20" si="2">E59</f>
        <v>41</v>
      </c>
      <c r="F20" s="127">
        <f t="shared" si="2"/>
        <v>83</v>
      </c>
      <c r="G20" s="127">
        <f t="shared" si="2"/>
        <v>120</v>
      </c>
      <c r="H20" s="127">
        <f t="shared" si="2"/>
        <v>41</v>
      </c>
      <c r="I20" s="127">
        <f t="shared" si="2"/>
        <v>30</v>
      </c>
      <c r="J20" s="127">
        <f t="shared" si="2"/>
        <v>14</v>
      </c>
      <c r="K20" s="127">
        <f t="shared" si="2"/>
        <v>126</v>
      </c>
      <c r="L20" s="127">
        <f t="shared" si="2"/>
        <v>45</v>
      </c>
      <c r="M20" s="127">
        <f t="shared" si="1"/>
        <v>540</v>
      </c>
    </row>
    <row r="21" spans="2:13" x14ac:dyDescent="0.3">
      <c r="C21" s="38" t="s">
        <v>12</v>
      </c>
      <c r="D21" s="127">
        <f t="shared" ref="D21:L21" si="3">SUM(D16:D20)</f>
        <v>377</v>
      </c>
      <c r="E21" s="126">
        <f t="shared" si="3"/>
        <v>210</v>
      </c>
      <c r="F21" s="127">
        <f t="shared" si="3"/>
        <v>550</v>
      </c>
      <c r="G21" s="127">
        <f t="shared" si="3"/>
        <v>654</v>
      </c>
      <c r="H21" s="127">
        <f t="shared" si="3"/>
        <v>504</v>
      </c>
      <c r="I21" s="126">
        <f t="shared" si="3"/>
        <v>129</v>
      </c>
      <c r="J21" s="126">
        <f t="shared" si="3"/>
        <v>96</v>
      </c>
      <c r="K21" s="126">
        <f t="shared" si="3"/>
        <v>569</v>
      </c>
      <c r="L21" s="126">
        <f t="shared" si="3"/>
        <v>127</v>
      </c>
      <c r="M21" s="127">
        <f t="shared" si="1"/>
        <v>3216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0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0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59">
        <v>1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59">
        <v>1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/>
      <c r="E31" s="126"/>
      <c r="F31" s="126">
        <v>5</v>
      </c>
      <c r="G31" s="127">
        <v>17</v>
      </c>
      <c r="H31" s="127">
        <v>6</v>
      </c>
      <c r="I31" s="127">
        <v>11</v>
      </c>
      <c r="J31" s="127"/>
      <c r="K31" s="127">
        <v>18</v>
      </c>
      <c r="L31" s="127"/>
      <c r="M31" s="127">
        <f t="shared" ref="M31:M58" si="4">SUM(D31:L31)</f>
        <v>57</v>
      </c>
    </row>
    <row r="32" spans="2:13" x14ac:dyDescent="0.3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4"/>
        <v>0</v>
      </c>
    </row>
    <row r="33" spans="3:13" x14ac:dyDescent="0.3">
      <c r="C33" s="38" t="s">
        <v>35</v>
      </c>
      <c r="D33" s="126"/>
      <c r="E33" s="126">
        <v>8</v>
      </c>
      <c r="F33" s="126">
        <v>4</v>
      </c>
      <c r="G33" s="126">
        <v>32</v>
      </c>
      <c r="H33" s="127">
        <v>8</v>
      </c>
      <c r="I33" s="127">
        <v>1</v>
      </c>
      <c r="J33" s="126"/>
      <c r="K33" s="126">
        <v>14</v>
      </c>
      <c r="L33" s="127">
        <v>2</v>
      </c>
      <c r="M33" s="127">
        <f t="shared" si="4"/>
        <v>69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4"/>
        <v>0</v>
      </c>
    </row>
    <row r="35" spans="3:13" x14ac:dyDescent="0.3">
      <c r="C35" s="38" t="s">
        <v>37</v>
      </c>
      <c r="D35" s="127">
        <v>5</v>
      </c>
      <c r="E35" s="126">
        <v>4</v>
      </c>
      <c r="F35" s="126">
        <v>10</v>
      </c>
      <c r="G35" s="126">
        <v>10</v>
      </c>
      <c r="H35" s="127">
        <v>2</v>
      </c>
      <c r="I35" s="126">
        <v>2</v>
      </c>
      <c r="J35" s="126">
        <v>2</v>
      </c>
      <c r="K35" s="126">
        <v>13</v>
      </c>
      <c r="L35" s="127">
        <v>12</v>
      </c>
      <c r="M35" s="127">
        <f t="shared" si="4"/>
        <v>60</v>
      </c>
    </row>
    <row r="36" spans="3:13" x14ac:dyDescent="0.3">
      <c r="C36" s="38" t="s">
        <v>38</v>
      </c>
      <c r="D36" s="127"/>
      <c r="E36" s="126"/>
      <c r="F36" s="127"/>
      <c r="G36" s="127"/>
      <c r="H36" s="127"/>
      <c r="I36" s="126">
        <v>2</v>
      </c>
      <c r="J36" s="126"/>
      <c r="K36" s="126">
        <v>2</v>
      </c>
      <c r="L36" s="126"/>
      <c r="M36" s="127">
        <f t="shared" si="4"/>
        <v>4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4"/>
        <v>0</v>
      </c>
    </row>
    <row r="40" spans="3:13" x14ac:dyDescent="0.3">
      <c r="C40" s="38" t="s">
        <v>42</v>
      </c>
      <c r="D40" s="126">
        <v>3</v>
      </c>
      <c r="E40" s="126">
        <v>3</v>
      </c>
      <c r="F40" s="127">
        <v>3</v>
      </c>
      <c r="G40" s="127">
        <v>4</v>
      </c>
      <c r="H40" s="127">
        <v>1</v>
      </c>
      <c r="I40" s="127"/>
      <c r="J40" s="126">
        <v>6</v>
      </c>
      <c r="K40" s="126">
        <v>17</v>
      </c>
      <c r="L40" s="127">
        <v>5</v>
      </c>
      <c r="M40" s="127">
        <f t="shared" si="4"/>
        <v>42</v>
      </c>
    </row>
    <row r="41" spans="3:13" x14ac:dyDescent="0.3">
      <c r="C41" s="38" t="s">
        <v>43</v>
      </c>
      <c r="D41" s="126">
        <v>13</v>
      </c>
      <c r="E41" s="126">
        <v>10</v>
      </c>
      <c r="F41" s="127">
        <v>7</v>
      </c>
      <c r="G41" s="127">
        <v>12</v>
      </c>
      <c r="H41" s="127">
        <v>5</v>
      </c>
      <c r="I41" s="127">
        <v>10</v>
      </c>
      <c r="J41" s="126"/>
      <c r="K41" s="126">
        <v>25</v>
      </c>
      <c r="L41" s="127">
        <v>3</v>
      </c>
      <c r="M41" s="127">
        <f t="shared" si="4"/>
        <v>85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4"/>
        <v>0</v>
      </c>
    </row>
    <row r="43" spans="3:13" x14ac:dyDescent="0.3">
      <c r="C43" s="37" t="s">
        <v>45</v>
      </c>
      <c r="D43" s="126"/>
      <c r="E43" s="126"/>
      <c r="F43" s="127"/>
      <c r="G43" s="127"/>
      <c r="H43" s="127"/>
      <c r="I43" s="127"/>
      <c r="J43" s="127"/>
      <c r="K43" s="127"/>
      <c r="L43" s="127"/>
      <c r="M43" s="127">
        <f t="shared" si="4"/>
        <v>0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3">
      <c r="C48" s="37" t="s">
        <v>50</v>
      </c>
      <c r="D48" s="127">
        <v>19</v>
      </c>
      <c r="E48" s="127">
        <v>16</v>
      </c>
      <c r="F48" s="127">
        <v>46</v>
      </c>
      <c r="G48" s="127">
        <v>39</v>
      </c>
      <c r="H48" s="127">
        <v>17</v>
      </c>
      <c r="I48" s="127">
        <v>3</v>
      </c>
      <c r="J48" s="127">
        <v>4</v>
      </c>
      <c r="K48" s="127">
        <v>25</v>
      </c>
      <c r="L48" s="127">
        <v>23</v>
      </c>
      <c r="M48" s="127">
        <f t="shared" si="4"/>
        <v>192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3">
      <c r="C51" s="38" t="s">
        <v>53</v>
      </c>
      <c r="D51" s="127"/>
      <c r="E51" s="126"/>
      <c r="F51" s="127">
        <v>2</v>
      </c>
      <c r="G51" s="127"/>
      <c r="H51" s="127"/>
      <c r="I51" s="127"/>
      <c r="J51" s="127"/>
      <c r="K51" s="127">
        <v>2</v>
      </c>
      <c r="L51" s="127"/>
      <c r="M51" s="127">
        <f t="shared" si="4"/>
        <v>4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3">
      <c r="C53" s="38" t="s">
        <v>167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3">
      <c r="C54" s="38" t="s">
        <v>55</v>
      </c>
      <c r="D54" s="127"/>
      <c r="E54" s="126"/>
      <c r="F54" s="127"/>
      <c r="G54" s="127"/>
      <c r="H54" s="127"/>
      <c r="I54" s="127"/>
      <c r="J54" s="127"/>
      <c r="K54" s="127"/>
      <c r="L54" s="127"/>
      <c r="M54" s="127">
        <f t="shared" si="4"/>
        <v>0</v>
      </c>
    </row>
    <row r="55" spans="2:14" x14ac:dyDescent="0.3">
      <c r="C55" s="38" t="s">
        <v>56</v>
      </c>
      <c r="D55" s="126"/>
      <c r="E55" s="126"/>
      <c r="F55" s="126">
        <v>6</v>
      </c>
      <c r="G55" s="127">
        <v>6</v>
      </c>
      <c r="H55" s="126"/>
      <c r="I55" s="127">
        <v>1</v>
      </c>
      <c r="J55" s="127">
        <v>1</v>
      </c>
      <c r="K55" s="127">
        <v>8</v>
      </c>
      <c r="L55" s="127"/>
      <c r="M55" s="127">
        <f t="shared" si="4"/>
        <v>22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3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4"/>
        <v>0</v>
      </c>
    </row>
    <row r="58" spans="2:14" ht="15" thickBot="1" x14ac:dyDescent="0.35">
      <c r="C58" s="118" t="s">
        <v>59</v>
      </c>
      <c r="D58" s="145"/>
      <c r="E58" s="128"/>
      <c r="F58" s="128"/>
      <c r="G58" s="128"/>
      <c r="H58" s="128">
        <v>2</v>
      </c>
      <c r="I58" s="128"/>
      <c r="J58" s="128">
        <v>1</v>
      </c>
      <c r="K58" s="128">
        <v>2</v>
      </c>
      <c r="L58" s="128"/>
      <c r="M58" s="144">
        <f t="shared" si="4"/>
        <v>5</v>
      </c>
    </row>
    <row r="59" spans="2:14" ht="15" thickTop="1" x14ac:dyDescent="0.3">
      <c r="C59" s="36" t="s">
        <v>29</v>
      </c>
      <c r="D59" s="143">
        <f t="shared" ref="D59:M59" si="5">SUM(D31:D58)</f>
        <v>40</v>
      </c>
      <c r="E59" s="143">
        <f>SUM(E31:E58)</f>
        <v>41</v>
      </c>
      <c r="F59" s="143">
        <f t="shared" si="5"/>
        <v>83</v>
      </c>
      <c r="G59" s="143">
        <f t="shared" si="5"/>
        <v>120</v>
      </c>
      <c r="H59" s="143">
        <f t="shared" si="5"/>
        <v>41</v>
      </c>
      <c r="I59" s="143">
        <f t="shared" si="5"/>
        <v>30</v>
      </c>
      <c r="J59" s="143">
        <f t="shared" si="5"/>
        <v>14</v>
      </c>
      <c r="K59" s="143">
        <f t="shared" si="5"/>
        <v>126</v>
      </c>
      <c r="L59" s="143">
        <f t="shared" si="5"/>
        <v>45</v>
      </c>
      <c r="M59" s="143">
        <f t="shared" si="5"/>
        <v>540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3332</v>
      </c>
      <c r="E64" s="125">
        <v>75</v>
      </c>
      <c r="F64" s="124">
        <v>12893</v>
      </c>
      <c r="G64" s="125">
        <v>11719</v>
      </c>
      <c r="H64" s="125">
        <v>9069</v>
      </c>
      <c r="I64" s="125">
        <v>102</v>
      </c>
      <c r="J64" s="125">
        <v>58</v>
      </c>
      <c r="K64" s="125">
        <v>11463</v>
      </c>
      <c r="L64" s="125">
        <v>1832</v>
      </c>
      <c r="M64" s="21">
        <f>SUM(D64:L64)</f>
        <v>50543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40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144</v>
      </c>
      <c r="N68" s="16"/>
    </row>
    <row r="69" spans="2:14" x14ac:dyDescent="0.3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136">
        <v>44905</v>
      </c>
      <c r="D70" s="129">
        <f>64+38+25+23</f>
        <v>150</v>
      </c>
      <c r="E70" s="129">
        <v>993</v>
      </c>
      <c r="F70" s="135">
        <f>40+13+8+77+5+30+67+1</f>
        <v>241</v>
      </c>
      <c r="G70" s="135">
        <f>48+3+18+4+1+5+4+5+2+32+16+11+4+65+3+4+2+9+3+10+2+6+19+14+4+8+1+15+1+20+7+1+6+3+11+7+8+3+24+5+1+1+2+3</f>
        <v>421</v>
      </c>
      <c r="H70" s="129">
        <v>117</v>
      </c>
      <c r="I70" s="135">
        <f>21+184+4031</f>
        <v>4236</v>
      </c>
      <c r="J70" s="135">
        <v>18</v>
      </c>
      <c r="K70" s="129">
        <v>17</v>
      </c>
      <c r="L70" s="135">
        <v>196</v>
      </c>
      <c r="M70" s="129">
        <f>4804+179</f>
        <v>4983</v>
      </c>
      <c r="N70" s="130">
        <f>SUM(C70:M70)</f>
        <v>56277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4804</v>
      </c>
    </row>
    <row r="73" spans="2:14" x14ac:dyDescent="0.3">
      <c r="B73" s="10"/>
      <c r="C73" s="6" t="s">
        <v>264</v>
      </c>
      <c r="D73" s="7"/>
      <c r="E73" s="8">
        <v>436</v>
      </c>
      <c r="F73" s="10"/>
      <c r="G73" s="10"/>
      <c r="H73" s="12"/>
      <c r="I73" s="10"/>
      <c r="K73" s="10"/>
      <c r="L73" s="10" t="s">
        <v>147</v>
      </c>
      <c r="M73" s="10"/>
      <c r="N73">
        <f>36+3+28+15+6+38+5+9+24+15</f>
        <v>179</v>
      </c>
    </row>
    <row r="74" spans="2:14" x14ac:dyDescent="0.3">
      <c r="C74" s="42" t="s">
        <v>79</v>
      </c>
      <c r="D74" s="43"/>
      <c r="E74" s="31">
        <v>449</v>
      </c>
      <c r="I74" s="10"/>
      <c r="K74" s="10"/>
      <c r="L74" s="10"/>
      <c r="M74" s="10"/>
    </row>
    <row r="75" spans="2:14" x14ac:dyDescent="0.3">
      <c r="C75" s="44" t="s">
        <v>82</v>
      </c>
      <c r="D75" s="47"/>
      <c r="E75" s="16">
        <v>40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6" t="s">
        <v>117</v>
      </c>
      <c r="D77" s="49"/>
      <c r="E77" s="10"/>
      <c r="I77" s="10"/>
    </row>
    <row r="78" spans="2:14" x14ac:dyDescent="0.3">
      <c r="C78" s="51" t="s">
        <v>118</v>
      </c>
      <c r="D78" s="166">
        <v>1167</v>
      </c>
      <c r="E78" s="29"/>
      <c r="I78" s="10"/>
    </row>
    <row r="79" spans="2:14" x14ac:dyDescent="0.3">
      <c r="C79" s="53" t="s">
        <v>108</v>
      </c>
      <c r="D79" s="56">
        <v>575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123" t="s">
        <v>77</v>
      </c>
      <c r="D81" s="105"/>
      <c r="E81" s="8">
        <v>6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5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6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1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10" t="s">
        <v>179</v>
      </c>
      <c r="D89" s="126">
        <v>37</v>
      </c>
      <c r="E89" s="126">
        <v>15</v>
      </c>
      <c r="F89" s="126">
        <v>215</v>
      </c>
      <c r="G89" s="167">
        <v>490</v>
      </c>
      <c r="H89" s="167">
        <v>108</v>
      </c>
      <c r="I89" s="167">
        <v>0</v>
      </c>
      <c r="J89" s="167">
        <v>0</v>
      </c>
      <c r="K89" s="167">
        <v>285</v>
      </c>
      <c r="L89" s="167">
        <v>7</v>
      </c>
      <c r="M89" s="168" t="s">
        <v>126</v>
      </c>
      <c r="N89" s="127">
        <f>SUM(D89:M89)</f>
        <v>1157</v>
      </c>
    </row>
    <row r="90" spans="2:14" x14ac:dyDescent="0.3">
      <c r="B90" s="9"/>
      <c r="C90" s="12" t="s">
        <v>13</v>
      </c>
      <c r="D90" s="126">
        <v>11</v>
      </c>
      <c r="E90" s="126">
        <v>0</v>
      </c>
      <c r="F90" s="126">
        <v>11</v>
      </c>
      <c r="G90" s="167">
        <v>53</v>
      </c>
      <c r="H90" s="167">
        <v>3</v>
      </c>
      <c r="I90" s="167">
        <v>0</v>
      </c>
      <c r="J90" s="167">
        <v>0</v>
      </c>
      <c r="K90" s="167">
        <v>19</v>
      </c>
      <c r="L90" s="167">
        <v>0</v>
      </c>
      <c r="M90" s="167">
        <v>12</v>
      </c>
      <c r="N90" s="127">
        <f>SUM(D90:M90)</f>
        <v>109</v>
      </c>
    </row>
    <row r="91" spans="2:14" ht="15" thickBot="1" x14ac:dyDescent="0.35">
      <c r="B91" s="9"/>
      <c r="C91" s="12" t="s">
        <v>14</v>
      </c>
      <c r="D91" s="128">
        <v>0</v>
      </c>
      <c r="E91" s="128">
        <v>0</v>
      </c>
      <c r="F91" s="128">
        <v>63</v>
      </c>
      <c r="G91" s="128">
        <v>22</v>
      </c>
      <c r="H91" s="128">
        <v>25</v>
      </c>
      <c r="I91" s="128">
        <v>0</v>
      </c>
      <c r="J91" s="128">
        <v>0</v>
      </c>
      <c r="K91" s="128">
        <v>25</v>
      </c>
      <c r="L91" s="128">
        <v>0</v>
      </c>
      <c r="M91" s="169" t="s">
        <v>126</v>
      </c>
      <c r="N91" s="128">
        <f>SUM(D91:L91)</f>
        <v>135</v>
      </c>
    </row>
    <row r="92" spans="2:14" ht="15" thickTop="1" x14ac:dyDescent="0.3">
      <c r="B92" s="13"/>
      <c r="C92" s="14" t="s">
        <v>12</v>
      </c>
      <c r="D92" s="143">
        <f>SUM(D89:D91)</f>
        <v>48</v>
      </c>
      <c r="E92" s="143">
        <f t="shared" ref="E92:N92" si="6">SUM(E89:E91)</f>
        <v>15</v>
      </c>
      <c r="F92" s="143">
        <f t="shared" si="6"/>
        <v>289</v>
      </c>
      <c r="G92" s="143">
        <f t="shared" si="6"/>
        <v>565</v>
      </c>
      <c r="H92" s="143">
        <f t="shared" si="6"/>
        <v>136</v>
      </c>
      <c r="I92" s="143">
        <f t="shared" si="6"/>
        <v>0</v>
      </c>
      <c r="J92" s="143">
        <f t="shared" si="6"/>
        <v>0</v>
      </c>
      <c r="K92" s="143">
        <f t="shared" si="6"/>
        <v>329</v>
      </c>
      <c r="L92" s="143">
        <f t="shared" si="6"/>
        <v>7</v>
      </c>
      <c r="M92" s="143">
        <f t="shared" si="6"/>
        <v>12</v>
      </c>
      <c r="N92" s="143">
        <f t="shared" si="6"/>
        <v>1401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2</v>
      </c>
      <c r="E95" s="126">
        <v>2</v>
      </c>
      <c r="F95" s="126">
        <v>7</v>
      </c>
      <c r="G95" s="150">
        <v>13</v>
      </c>
      <c r="H95" s="150">
        <v>0</v>
      </c>
      <c r="I95" s="150">
        <v>0</v>
      </c>
      <c r="J95" s="150">
        <v>0</v>
      </c>
      <c r="K95" s="150">
        <v>5</v>
      </c>
      <c r="L95" s="150">
        <v>1</v>
      </c>
      <c r="M95" s="150">
        <f>SUM(D95:L95)</f>
        <v>30</v>
      </c>
      <c r="N95" s="10"/>
    </row>
    <row r="96" spans="2:14" ht="15" thickBot="1" x14ac:dyDescent="0.35">
      <c r="B96" s="365" t="s">
        <v>177</v>
      </c>
      <c r="C96" s="380"/>
      <c r="D96" s="128">
        <v>0</v>
      </c>
      <c r="E96" s="128">
        <v>0</v>
      </c>
      <c r="F96" s="128">
        <v>0</v>
      </c>
      <c r="G96" s="174">
        <v>51</v>
      </c>
      <c r="H96" s="174">
        <v>0</v>
      </c>
      <c r="I96" s="174">
        <v>0</v>
      </c>
      <c r="J96" s="174">
        <v>0</v>
      </c>
      <c r="K96" s="174">
        <v>0</v>
      </c>
      <c r="L96" s="174">
        <v>0</v>
      </c>
      <c r="M96" s="150">
        <f t="shared" ref="M96:M97" si="7">SUM(D96:L96)</f>
        <v>51</v>
      </c>
      <c r="N96" s="10"/>
    </row>
    <row r="97" spans="2:14" ht="15" thickTop="1" x14ac:dyDescent="0.3">
      <c r="B97" s="28"/>
      <c r="C97" s="190" t="s">
        <v>29</v>
      </c>
      <c r="D97" s="171">
        <f t="shared" ref="D97" si="8">SUM(D95:D96)</f>
        <v>2</v>
      </c>
      <c r="E97" s="171">
        <f t="shared" ref="E97:L97" si="9">SUM(E95:E96)</f>
        <v>2</v>
      </c>
      <c r="F97" s="171">
        <f t="shared" si="9"/>
        <v>7</v>
      </c>
      <c r="G97" s="171">
        <f t="shared" si="9"/>
        <v>64</v>
      </c>
      <c r="H97" s="171">
        <f t="shared" si="9"/>
        <v>0</v>
      </c>
      <c r="I97" s="172">
        <f t="shared" si="9"/>
        <v>0</v>
      </c>
      <c r="J97" s="171">
        <f t="shared" si="9"/>
        <v>0</v>
      </c>
      <c r="K97" s="171">
        <f t="shared" si="9"/>
        <v>5</v>
      </c>
      <c r="L97" s="171">
        <f t="shared" si="9"/>
        <v>1</v>
      </c>
      <c r="M97" s="150">
        <f t="shared" si="7"/>
        <v>81</v>
      </c>
      <c r="N97" s="10"/>
    </row>
    <row r="98" spans="2:14" s="10" customFormat="1" x14ac:dyDescent="0.3"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</row>
    <row r="99" spans="2:14" x14ac:dyDescent="0.3">
      <c r="B99" s="374" t="s">
        <v>30</v>
      </c>
      <c r="C99" s="375"/>
      <c r="D99" s="143"/>
      <c r="E99" s="143"/>
      <c r="F99" s="143"/>
      <c r="G99" s="151">
        <v>5</v>
      </c>
      <c r="H99" s="151"/>
      <c r="I99" s="151">
        <v>0</v>
      </c>
      <c r="J99" s="151"/>
      <c r="K99" s="151">
        <v>4</v>
      </c>
      <c r="L99" s="151"/>
      <c r="M99" s="151">
        <f>SUM(D99:L99)</f>
        <v>9</v>
      </c>
      <c r="N99" s="10"/>
    </row>
    <row r="100" spans="2:14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2:14" ht="15" customHeight="1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2:14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2:14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2:14" x14ac:dyDescent="0.3">
      <c r="B104" s="374" t="s">
        <v>23</v>
      </c>
      <c r="C104" s="375"/>
      <c r="D104" s="131">
        <v>23.75</v>
      </c>
      <c r="E104" s="131">
        <v>0</v>
      </c>
      <c r="F104" s="131">
        <v>9</v>
      </c>
      <c r="G104" s="131">
        <v>26.99</v>
      </c>
      <c r="H104" s="131">
        <v>17.75</v>
      </c>
      <c r="I104" s="131">
        <v>0</v>
      </c>
      <c r="J104" s="131">
        <v>0</v>
      </c>
      <c r="K104" s="131">
        <v>16.25</v>
      </c>
      <c r="L104" s="131">
        <v>2</v>
      </c>
      <c r="M104" s="132"/>
      <c r="N104" s="133">
        <f>SUM(D104:M104)</f>
        <v>95.74</v>
      </c>
    </row>
    <row r="105" spans="2:14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2:14" x14ac:dyDescent="0.3">
      <c r="C106" s="6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3">
      <c r="C107" s="51" t="s">
        <v>87</v>
      </c>
      <c r="D107" s="10"/>
      <c r="E107" s="30">
        <v>631</v>
      </c>
      <c r="K107" s="10"/>
      <c r="L107" s="10"/>
      <c r="M107" s="10"/>
      <c r="N107" s="10"/>
    </row>
    <row r="108" spans="2:14" x14ac:dyDescent="0.3">
      <c r="C108" s="51" t="s">
        <v>89</v>
      </c>
      <c r="D108" s="10"/>
      <c r="E108" s="30">
        <v>102</v>
      </c>
      <c r="K108" s="10"/>
      <c r="L108" s="10"/>
      <c r="M108" s="10"/>
      <c r="N108" s="10"/>
    </row>
    <row r="109" spans="2:14" x14ac:dyDescent="0.3">
      <c r="C109" s="51" t="s">
        <v>91</v>
      </c>
      <c r="D109" s="10"/>
      <c r="E109" s="30">
        <v>26</v>
      </c>
      <c r="K109" s="10"/>
      <c r="L109" s="10"/>
      <c r="M109" s="10"/>
      <c r="N109" s="10"/>
    </row>
    <row r="110" spans="2:14" x14ac:dyDescent="0.3">
      <c r="C110" s="51" t="s">
        <v>94</v>
      </c>
      <c r="D110" s="10"/>
      <c r="E110" s="30">
        <v>7</v>
      </c>
      <c r="K110" s="10"/>
      <c r="L110" s="10"/>
      <c r="M110" s="10"/>
      <c r="N110" s="10"/>
    </row>
    <row r="111" spans="2:14" x14ac:dyDescent="0.3">
      <c r="C111" s="52" t="s">
        <v>97</v>
      </c>
      <c r="D111" s="15"/>
      <c r="E111" s="16">
        <v>33</v>
      </c>
      <c r="K111" s="10"/>
      <c r="L111" s="10"/>
      <c r="M111" s="10"/>
      <c r="N111" s="10"/>
    </row>
    <row r="112" spans="2:14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42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46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/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444+52</f>
        <v>496</v>
      </c>
    </row>
    <row r="120" spans="2:14" x14ac:dyDescent="0.3">
      <c r="C120" s="9" t="s">
        <v>20</v>
      </c>
      <c r="D120" s="10"/>
      <c r="E120" s="137">
        <f>122+46</f>
        <v>168</v>
      </c>
    </row>
    <row r="121" spans="2:14" x14ac:dyDescent="0.3">
      <c r="C121" s="9" t="s">
        <v>19</v>
      </c>
      <c r="D121" s="10"/>
      <c r="E121" s="137">
        <v>20</v>
      </c>
    </row>
    <row r="122" spans="2:14" x14ac:dyDescent="0.3">
      <c r="C122" s="9" t="s">
        <v>93</v>
      </c>
      <c r="D122" s="10"/>
      <c r="E122" s="137">
        <f>385+7</f>
        <v>392</v>
      </c>
    </row>
    <row r="123" spans="2:14" x14ac:dyDescent="0.3">
      <c r="C123" s="13" t="s">
        <v>96</v>
      </c>
      <c r="D123" s="15"/>
      <c r="E123" s="138"/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v>8</v>
      </c>
    </row>
    <row r="127" spans="2:14" x14ac:dyDescent="0.3">
      <c r="C127" s="51" t="s">
        <v>88</v>
      </c>
      <c r="D127" s="10"/>
      <c r="E127" s="137"/>
    </row>
    <row r="128" spans="2:14" x14ac:dyDescent="0.3">
      <c r="C128" s="51" t="s">
        <v>90</v>
      </c>
      <c r="D128" s="10"/>
      <c r="E128" s="137">
        <f>29+2+1</f>
        <v>32</v>
      </c>
    </row>
    <row r="129" spans="3:16384" x14ac:dyDescent="0.3">
      <c r="C129" s="51" t="s">
        <v>92</v>
      </c>
      <c r="D129" s="12"/>
      <c r="E129" s="137">
        <f>809+60+1</f>
        <v>870</v>
      </c>
    </row>
    <row r="130" spans="3:16384" x14ac:dyDescent="0.3">
      <c r="C130" s="51" t="s">
        <v>95</v>
      </c>
      <c r="D130" s="12"/>
      <c r="E130" s="137">
        <f>7+22+1</f>
        <v>30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  <c r="P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98"/>
      <c r="DS130" s="98"/>
      <c r="DT130" s="98"/>
      <c r="DU130" s="98"/>
      <c r="DV130" s="98"/>
      <c r="DW130" s="98"/>
      <c r="DX130" s="98"/>
      <c r="DY130" s="98"/>
      <c r="DZ130" s="98"/>
      <c r="EA130" s="98"/>
      <c r="EB130" s="98"/>
      <c r="EC130" s="98"/>
      <c r="ED130" s="98"/>
      <c r="EE130" s="98"/>
      <c r="EF130" s="98"/>
      <c r="EG130" s="98"/>
      <c r="EH130" s="98"/>
      <c r="EI130" s="98"/>
      <c r="EJ130" s="98"/>
      <c r="EK130" s="98"/>
      <c r="EL130" s="98"/>
      <c r="EM130" s="98"/>
      <c r="EN130" s="98"/>
      <c r="EO130" s="98"/>
      <c r="EP130" s="98"/>
      <c r="EQ130" s="98"/>
      <c r="ER130" s="98"/>
      <c r="ES130" s="98"/>
      <c r="ET130" s="98"/>
      <c r="EU130" s="98"/>
      <c r="EV130" s="98"/>
      <c r="EW130" s="98"/>
      <c r="EX130" s="98"/>
      <c r="EY130" s="98"/>
      <c r="EZ130" s="98"/>
      <c r="FA130" s="98"/>
      <c r="FB130" s="98"/>
      <c r="FC130" s="98"/>
      <c r="FD130" s="98"/>
      <c r="FE130" s="98"/>
      <c r="FF130" s="98"/>
      <c r="FG130" s="98"/>
      <c r="FH130" s="98"/>
      <c r="FI130" s="98"/>
      <c r="FJ130" s="98"/>
      <c r="FK130" s="98"/>
      <c r="FL130" s="98"/>
      <c r="FM130" s="98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8"/>
      <c r="GC130" s="98"/>
      <c r="GD130" s="98"/>
      <c r="GE130" s="98"/>
      <c r="GF130" s="98"/>
      <c r="GG130" s="98"/>
      <c r="GH130" s="98"/>
      <c r="GI130" s="98"/>
      <c r="GJ130" s="98"/>
      <c r="GK130" s="98"/>
      <c r="GL130" s="98"/>
      <c r="GM130" s="98"/>
      <c r="GN130" s="98"/>
      <c r="GO130" s="98"/>
      <c r="GP130" s="98"/>
      <c r="GQ130" s="98"/>
      <c r="GR130" s="98"/>
      <c r="GS130" s="98"/>
      <c r="GT130" s="98"/>
      <c r="GU130" s="98"/>
      <c r="GV130" s="98"/>
      <c r="GW130" s="98"/>
      <c r="GX130" s="98"/>
      <c r="GY130" s="98"/>
      <c r="GZ130" s="98"/>
      <c r="HA130" s="98"/>
      <c r="HB130" s="98"/>
      <c r="HC130" s="98"/>
      <c r="HD130" s="98"/>
      <c r="HE130" s="98"/>
      <c r="HF130" s="98"/>
      <c r="HG130" s="98"/>
      <c r="HH130" s="98"/>
      <c r="HI130" s="98"/>
      <c r="HJ130" s="98"/>
      <c r="HK130" s="98"/>
      <c r="HL130" s="98"/>
      <c r="HM130" s="98"/>
      <c r="HN130" s="98"/>
      <c r="HO130" s="98"/>
      <c r="HP130" s="98"/>
      <c r="HQ130" s="98"/>
      <c r="HR130" s="98"/>
      <c r="HS130" s="98"/>
      <c r="HT130" s="98"/>
      <c r="HU130" s="98"/>
      <c r="HV130" s="98"/>
      <c r="HW130" s="98"/>
      <c r="HX130" s="98"/>
      <c r="HY130" s="98"/>
      <c r="HZ130" s="98"/>
      <c r="IA130" s="98"/>
      <c r="IB130" s="98"/>
      <c r="IC130" s="98"/>
      <c r="ID130" s="98"/>
      <c r="IE130" s="98"/>
      <c r="IF130" s="98"/>
      <c r="IG130" s="98"/>
      <c r="IH130" s="98"/>
      <c r="II130" s="98"/>
      <c r="IJ130" s="98"/>
      <c r="IK130" s="98"/>
      <c r="IL130" s="98"/>
      <c r="IM130" s="98"/>
      <c r="IN130" s="98"/>
      <c r="IO130" s="98"/>
      <c r="IP130" s="98"/>
      <c r="IQ130" s="98"/>
      <c r="IR130" s="98"/>
      <c r="IS130" s="98"/>
      <c r="IT130" s="98"/>
      <c r="IU130" s="98"/>
      <c r="IV130" s="98"/>
      <c r="IW130" s="98"/>
      <c r="IX130" s="98"/>
      <c r="IY130" s="98"/>
      <c r="IZ130" s="98"/>
      <c r="JA130" s="98"/>
      <c r="JB130" s="98"/>
      <c r="JC130" s="98"/>
      <c r="JD130" s="98"/>
      <c r="JE130" s="98"/>
      <c r="JF130" s="98"/>
      <c r="JG130" s="98"/>
      <c r="JH130" s="98"/>
      <c r="JI130" s="98"/>
      <c r="JJ130" s="98"/>
      <c r="JK130" s="98"/>
      <c r="JL130" s="98"/>
      <c r="JM130" s="98"/>
      <c r="JN130" s="98"/>
      <c r="JO130" s="98"/>
      <c r="JP130" s="98"/>
      <c r="JQ130" s="98"/>
      <c r="JR130" s="98"/>
      <c r="JS130" s="98"/>
      <c r="JT130" s="98"/>
      <c r="JU130" s="98"/>
      <c r="JV130" s="98"/>
      <c r="JW130" s="98"/>
      <c r="JX130" s="98"/>
      <c r="JY130" s="98"/>
      <c r="JZ130" s="98"/>
      <c r="KA130" s="98"/>
      <c r="KB130" s="98"/>
      <c r="KC130" s="98"/>
      <c r="KD130" s="98"/>
      <c r="KE130" s="98"/>
      <c r="KF130" s="98"/>
      <c r="KG130" s="98"/>
      <c r="KH130" s="98"/>
      <c r="KI130" s="98"/>
      <c r="KJ130" s="98"/>
      <c r="KK130" s="98"/>
      <c r="KL130" s="98"/>
      <c r="KM130" s="98"/>
      <c r="KN130" s="98"/>
      <c r="KO130" s="98"/>
      <c r="KP130" s="98"/>
      <c r="KQ130" s="98"/>
      <c r="KR130" s="98"/>
      <c r="KS130" s="98"/>
      <c r="KT130" s="98"/>
      <c r="KU130" s="98"/>
      <c r="KV130" s="98"/>
      <c r="KW130" s="98"/>
      <c r="KX130" s="98"/>
      <c r="KY130" s="98"/>
      <c r="KZ130" s="98"/>
      <c r="LA130" s="98"/>
      <c r="LB130" s="98"/>
      <c r="LC130" s="98"/>
      <c r="LD130" s="98"/>
      <c r="LE130" s="98"/>
      <c r="LF130" s="98"/>
      <c r="LG130" s="98"/>
      <c r="LH130" s="98"/>
      <c r="LI130" s="98"/>
      <c r="LJ130" s="98"/>
      <c r="LK130" s="98"/>
      <c r="LL130" s="98"/>
      <c r="LM130" s="98"/>
      <c r="LN130" s="98"/>
      <c r="LO130" s="98"/>
      <c r="LP130" s="98"/>
      <c r="LQ130" s="98"/>
      <c r="LR130" s="98"/>
      <c r="LS130" s="98"/>
      <c r="LT130" s="98"/>
      <c r="LU130" s="98"/>
      <c r="LV130" s="98"/>
      <c r="LW130" s="98"/>
      <c r="LX130" s="98"/>
      <c r="LY130" s="98"/>
      <c r="LZ130" s="98"/>
      <c r="MA130" s="98"/>
      <c r="MB130" s="98"/>
      <c r="MC130" s="98"/>
      <c r="MD130" s="98"/>
      <c r="ME130" s="98"/>
      <c r="MF130" s="98"/>
      <c r="MG130" s="98"/>
      <c r="MH130" s="98"/>
      <c r="MI130" s="98"/>
      <c r="MJ130" s="98"/>
      <c r="MK130" s="98"/>
      <c r="ML130" s="98"/>
      <c r="MM130" s="98"/>
      <c r="MN130" s="98"/>
      <c r="MO130" s="98"/>
      <c r="MP130" s="98"/>
      <c r="MQ130" s="98"/>
      <c r="MR130" s="98"/>
      <c r="MS130" s="98"/>
      <c r="MT130" s="98"/>
      <c r="MU130" s="98"/>
      <c r="MV130" s="98"/>
      <c r="MW130" s="98"/>
      <c r="MX130" s="98"/>
      <c r="MY130" s="98"/>
      <c r="MZ130" s="98"/>
      <c r="NA130" s="98"/>
      <c r="NB130" s="98"/>
      <c r="NC130" s="98"/>
      <c r="ND130" s="98"/>
      <c r="NE130" s="98"/>
      <c r="NF130" s="98"/>
      <c r="NG130" s="98"/>
      <c r="NH130" s="98"/>
      <c r="NI130" s="98"/>
      <c r="NJ130" s="98"/>
      <c r="NK130" s="98"/>
      <c r="NL130" s="98"/>
      <c r="NM130" s="98"/>
      <c r="NN130" s="98"/>
      <c r="NO130" s="98"/>
      <c r="NP130" s="98"/>
      <c r="NQ130" s="98"/>
      <c r="NR130" s="98"/>
      <c r="NS130" s="98"/>
      <c r="NT130" s="98"/>
      <c r="NU130" s="98"/>
      <c r="NV130" s="98"/>
      <c r="NW130" s="98"/>
      <c r="NX130" s="98"/>
      <c r="NY130" s="98"/>
      <c r="NZ130" s="98"/>
      <c r="OA130" s="98"/>
      <c r="OB130" s="98"/>
      <c r="OC130" s="98"/>
      <c r="OD130" s="98"/>
      <c r="OE130" s="98"/>
      <c r="OF130" s="98"/>
      <c r="OG130" s="98"/>
      <c r="OH130" s="98"/>
      <c r="OI130" s="98"/>
      <c r="OJ130" s="98"/>
      <c r="OK130" s="98"/>
      <c r="OL130" s="98"/>
      <c r="OM130" s="98"/>
      <c r="ON130" s="98"/>
      <c r="OO130" s="98"/>
      <c r="OP130" s="98"/>
      <c r="OQ130" s="98"/>
      <c r="OR130" s="98"/>
      <c r="OS130" s="98"/>
      <c r="OT130" s="98"/>
      <c r="OU130" s="98"/>
      <c r="OV130" s="98"/>
      <c r="OW130" s="98"/>
      <c r="OX130" s="98"/>
      <c r="OY130" s="98"/>
      <c r="OZ130" s="98"/>
      <c r="PA130" s="98"/>
      <c r="PB130" s="98"/>
      <c r="PC130" s="98"/>
      <c r="PD130" s="98"/>
      <c r="PE130" s="98"/>
      <c r="PF130" s="98"/>
      <c r="PG130" s="98"/>
      <c r="PH130" s="98"/>
      <c r="PI130" s="98"/>
      <c r="PJ130" s="98"/>
      <c r="PK130" s="98"/>
      <c r="PL130" s="98"/>
      <c r="PM130" s="98"/>
      <c r="PN130" s="98"/>
      <c r="PO130" s="98"/>
      <c r="PP130" s="98"/>
      <c r="PQ130" s="98"/>
      <c r="PR130" s="98"/>
      <c r="PS130" s="98"/>
      <c r="PT130" s="98"/>
      <c r="PU130" s="98"/>
      <c r="PV130" s="98"/>
      <c r="PW130" s="98"/>
      <c r="PX130" s="98"/>
      <c r="PY130" s="98"/>
      <c r="PZ130" s="98"/>
      <c r="QA130" s="98"/>
      <c r="QB130" s="98"/>
      <c r="QC130" s="98"/>
      <c r="QD130" s="98"/>
      <c r="QE130" s="98"/>
      <c r="QF130" s="98"/>
      <c r="QG130" s="98"/>
      <c r="QH130" s="98"/>
      <c r="QI130" s="98"/>
      <c r="QJ130" s="98"/>
      <c r="QK130" s="98"/>
      <c r="QL130" s="98"/>
      <c r="QM130" s="98"/>
      <c r="QN130" s="98"/>
      <c r="QO130" s="98"/>
      <c r="QP130" s="98"/>
      <c r="QQ130" s="98"/>
      <c r="QR130" s="98"/>
      <c r="QS130" s="98"/>
      <c r="QT130" s="98"/>
      <c r="QU130" s="98"/>
      <c r="QV130" s="98"/>
      <c r="QW130" s="98"/>
      <c r="QX130" s="98"/>
      <c r="QY130" s="98"/>
      <c r="QZ130" s="98"/>
      <c r="RA130" s="98"/>
      <c r="RB130" s="98"/>
      <c r="RC130" s="98"/>
      <c r="RD130" s="98"/>
      <c r="RE130" s="98"/>
      <c r="RF130" s="98"/>
      <c r="RG130" s="98"/>
      <c r="RH130" s="98"/>
      <c r="RI130" s="98"/>
      <c r="RJ130" s="98"/>
      <c r="RK130" s="98"/>
      <c r="RL130" s="98"/>
      <c r="RM130" s="98"/>
      <c r="RN130" s="98"/>
      <c r="RO130" s="98"/>
      <c r="RP130" s="98"/>
      <c r="RQ130" s="98"/>
      <c r="RR130" s="98"/>
      <c r="RS130" s="98"/>
      <c r="RT130" s="98"/>
      <c r="RU130" s="98"/>
      <c r="RV130" s="98"/>
      <c r="RW130" s="98"/>
      <c r="RX130" s="98"/>
      <c r="RY130" s="98"/>
      <c r="RZ130" s="98"/>
      <c r="SA130" s="98"/>
      <c r="SB130" s="98"/>
      <c r="SC130" s="98"/>
      <c r="SD130" s="98"/>
      <c r="SE130" s="98"/>
      <c r="SF130" s="98"/>
      <c r="SG130" s="98"/>
      <c r="SH130" s="98"/>
      <c r="SI130" s="98"/>
      <c r="SJ130" s="98"/>
      <c r="SK130" s="98"/>
      <c r="SL130" s="98"/>
      <c r="SM130" s="98"/>
      <c r="SN130" s="98"/>
      <c r="SO130" s="98"/>
      <c r="SP130" s="98"/>
      <c r="SQ130" s="98"/>
      <c r="SR130" s="98"/>
      <c r="SS130" s="98"/>
      <c r="ST130" s="98"/>
      <c r="SU130" s="98"/>
      <c r="SV130" s="98"/>
      <c r="SW130" s="98"/>
      <c r="SX130" s="98"/>
      <c r="SY130" s="98"/>
      <c r="SZ130" s="98"/>
      <c r="TA130" s="98"/>
      <c r="TB130" s="98"/>
      <c r="TC130" s="98"/>
      <c r="TD130" s="98"/>
      <c r="TE130" s="98"/>
      <c r="TF130" s="98"/>
      <c r="TG130" s="98"/>
      <c r="TH130" s="98"/>
      <c r="TI130" s="98"/>
      <c r="TJ130" s="98"/>
      <c r="TK130" s="98"/>
      <c r="TL130" s="98"/>
      <c r="TM130" s="98"/>
      <c r="TN130" s="98"/>
      <c r="TO130" s="98"/>
      <c r="TP130" s="98"/>
      <c r="TQ130" s="98"/>
      <c r="TR130" s="98"/>
      <c r="TS130" s="98"/>
      <c r="TT130" s="98"/>
      <c r="TU130" s="98"/>
      <c r="TV130" s="98"/>
      <c r="TW130" s="98"/>
      <c r="TX130" s="98"/>
      <c r="TY130" s="98"/>
      <c r="TZ130" s="98"/>
      <c r="UA130" s="98"/>
      <c r="UB130" s="98"/>
      <c r="UC130" s="98"/>
      <c r="UD130" s="98"/>
      <c r="UE130" s="98"/>
      <c r="UF130" s="98"/>
      <c r="UG130" s="98"/>
      <c r="UH130" s="98"/>
      <c r="UI130" s="98"/>
      <c r="UJ130" s="98"/>
      <c r="UK130" s="98"/>
      <c r="UL130" s="98"/>
      <c r="UM130" s="98"/>
      <c r="UN130" s="98"/>
      <c r="UO130" s="98"/>
      <c r="UP130" s="98"/>
      <c r="UQ130" s="98"/>
      <c r="UR130" s="98"/>
      <c r="US130" s="98"/>
      <c r="UT130" s="98"/>
      <c r="UU130" s="98"/>
      <c r="UV130" s="98"/>
      <c r="UW130" s="98"/>
      <c r="UX130" s="98"/>
      <c r="UY130" s="98"/>
      <c r="UZ130" s="98"/>
      <c r="VA130" s="98"/>
      <c r="VB130" s="98"/>
      <c r="VC130" s="98"/>
      <c r="VD130" s="98"/>
      <c r="VE130" s="98"/>
      <c r="VF130" s="98"/>
      <c r="VG130" s="98"/>
      <c r="VH130" s="98"/>
      <c r="VI130" s="98"/>
      <c r="VJ130" s="98"/>
      <c r="VK130" s="98"/>
      <c r="VL130" s="98"/>
      <c r="VM130" s="98"/>
      <c r="VN130" s="98"/>
      <c r="VO130" s="98"/>
      <c r="VP130" s="98"/>
      <c r="VQ130" s="98"/>
      <c r="VR130" s="98"/>
      <c r="VS130" s="98"/>
      <c r="VT130" s="98"/>
      <c r="VU130" s="98"/>
      <c r="VV130" s="98"/>
      <c r="VW130" s="98"/>
      <c r="VX130" s="98"/>
      <c r="VY130" s="98"/>
      <c r="VZ130" s="98"/>
      <c r="WA130" s="98"/>
      <c r="WB130" s="98"/>
      <c r="WC130" s="98"/>
      <c r="WD130" s="98"/>
      <c r="WE130" s="98"/>
      <c r="WF130" s="98"/>
      <c r="WG130" s="98"/>
      <c r="WH130" s="98"/>
      <c r="WI130" s="98"/>
      <c r="WJ130" s="98"/>
      <c r="WK130" s="98"/>
      <c r="WL130" s="98"/>
      <c r="WM130" s="98"/>
      <c r="WN130" s="98"/>
      <c r="WO130" s="98"/>
      <c r="WP130" s="98"/>
      <c r="WQ130" s="98"/>
      <c r="WR130" s="98"/>
      <c r="WS130" s="98"/>
      <c r="WT130" s="98"/>
      <c r="WU130" s="98"/>
      <c r="WV130" s="98"/>
      <c r="WW130" s="98"/>
      <c r="WX130" s="98"/>
      <c r="WY130" s="98"/>
      <c r="WZ130" s="98"/>
      <c r="XA130" s="98"/>
      <c r="XB130" s="98"/>
      <c r="XC130" s="98"/>
      <c r="XD130" s="98"/>
      <c r="XE130" s="98"/>
      <c r="XF130" s="98"/>
      <c r="XG130" s="98"/>
      <c r="XH130" s="98"/>
      <c r="XI130" s="98"/>
      <c r="XJ130" s="98"/>
      <c r="XK130" s="98"/>
      <c r="XL130" s="98"/>
      <c r="XM130" s="98"/>
      <c r="XN130" s="98"/>
      <c r="XO130" s="98"/>
      <c r="XP130" s="98"/>
      <c r="XQ130" s="98"/>
      <c r="XR130" s="98"/>
      <c r="XS130" s="98"/>
      <c r="XT130" s="98"/>
      <c r="XU130" s="98"/>
      <c r="XV130" s="98"/>
      <c r="XW130" s="98"/>
      <c r="XX130" s="98"/>
      <c r="XY130" s="98"/>
      <c r="XZ130" s="98"/>
      <c r="YA130" s="98"/>
      <c r="YB130" s="98"/>
      <c r="YC130" s="98"/>
      <c r="YD130" s="98"/>
      <c r="YE130" s="98"/>
      <c r="YF130" s="98"/>
      <c r="YG130" s="98"/>
      <c r="YH130" s="98"/>
      <c r="YI130" s="98"/>
      <c r="YJ130" s="98"/>
      <c r="YK130" s="98"/>
      <c r="YL130" s="98"/>
      <c r="YM130" s="98"/>
      <c r="YN130" s="98"/>
      <c r="YO130" s="98"/>
      <c r="YP130" s="98"/>
      <c r="YQ130" s="98"/>
      <c r="YR130" s="98"/>
      <c r="YS130" s="98"/>
      <c r="YT130" s="98"/>
      <c r="YU130" s="98"/>
      <c r="YV130" s="98"/>
      <c r="YW130" s="98"/>
      <c r="YX130" s="98"/>
      <c r="YY130" s="98"/>
      <c r="YZ130" s="98"/>
      <c r="ZA130" s="98"/>
      <c r="ZB130" s="98"/>
      <c r="ZC130" s="98"/>
      <c r="ZD130" s="98"/>
      <c r="ZE130" s="98"/>
      <c r="ZF130" s="98"/>
      <c r="ZG130" s="98"/>
      <c r="ZH130" s="98"/>
      <c r="ZI130" s="98"/>
      <c r="ZJ130" s="98"/>
      <c r="ZK130" s="98"/>
      <c r="ZL130" s="98"/>
      <c r="ZM130" s="98"/>
      <c r="ZN130" s="98"/>
      <c r="ZO130" s="98"/>
      <c r="ZP130" s="98"/>
      <c r="ZQ130" s="98"/>
      <c r="ZR130" s="98"/>
      <c r="ZS130" s="98"/>
      <c r="ZT130" s="98"/>
      <c r="ZU130" s="98"/>
      <c r="ZV130" s="98"/>
      <c r="ZW130" s="98"/>
      <c r="ZX130" s="98"/>
      <c r="ZY130" s="98"/>
      <c r="ZZ130" s="98"/>
      <c r="AAA130" s="98"/>
      <c r="AAB130" s="98"/>
      <c r="AAC130" s="98"/>
      <c r="AAD130" s="98"/>
      <c r="AAE130" s="98"/>
      <c r="AAF130" s="98"/>
      <c r="AAG130" s="98"/>
      <c r="AAH130" s="98"/>
      <c r="AAI130" s="98"/>
      <c r="AAJ130" s="98"/>
      <c r="AAK130" s="98"/>
      <c r="AAL130" s="98"/>
      <c r="AAM130" s="98"/>
      <c r="AAN130" s="98"/>
      <c r="AAO130" s="98"/>
      <c r="AAP130" s="98"/>
      <c r="AAQ130" s="98"/>
      <c r="AAR130" s="98"/>
      <c r="AAS130" s="98"/>
      <c r="AAT130" s="98"/>
      <c r="AAU130" s="98"/>
      <c r="AAV130" s="98"/>
      <c r="AAW130" s="98"/>
      <c r="AAX130" s="98"/>
      <c r="AAY130" s="98"/>
      <c r="AAZ130" s="98"/>
      <c r="ABA130" s="98"/>
      <c r="ABB130" s="98"/>
      <c r="ABC130" s="98"/>
      <c r="ABD130" s="98"/>
      <c r="ABE130" s="98"/>
      <c r="ABF130" s="98"/>
      <c r="ABG130" s="98"/>
      <c r="ABH130" s="98"/>
      <c r="ABI130" s="98"/>
      <c r="ABJ130" s="98"/>
      <c r="ABK130" s="98"/>
      <c r="ABL130" s="98"/>
      <c r="ABM130" s="98"/>
      <c r="ABN130" s="98"/>
      <c r="ABO130" s="98"/>
      <c r="ABP130" s="98"/>
      <c r="ABQ130" s="98"/>
      <c r="ABR130" s="98"/>
      <c r="ABS130" s="98"/>
      <c r="ABT130" s="98"/>
      <c r="ABU130" s="98"/>
      <c r="ABV130" s="98"/>
      <c r="ABW130" s="98"/>
      <c r="ABX130" s="98"/>
      <c r="ABY130" s="98"/>
      <c r="ABZ130" s="98"/>
      <c r="ACA130" s="98"/>
      <c r="ACB130" s="98"/>
      <c r="ACC130" s="98"/>
      <c r="ACD130" s="98"/>
      <c r="ACE130" s="98"/>
      <c r="ACF130" s="98"/>
      <c r="ACG130" s="98"/>
      <c r="ACH130" s="98"/>
      <c r="ACI130" s="98"/>
      <c r="ACJ130" s="98"/>
      <c r="ACK130" s="98"/>
      <c r="ACL130" s="98"/>
      <c r="ACM130" s="98"/>
      <c r="ACN130" s="98"/>
      <c r="ACO130" s="98"/>
      <c r="ACP130" s="98"/>
      <c r="ACQ130" s="98"/>
      <c r="ACR130" s="98"/>
      <c r="ACS130" s="98"/>
      <c r="ACT130" s="98"/>
      <c r="ACU130" s="98"/>
      <c r="ACV130" s="98"/>
      <c r="ACW130" s="98"/>
      <c r="ACX130" s="98"/>
      <c r="ACY130" s="98"/>
      <c r="ACZ130" s="98"/>
      <c r="ADA130" s="98"/>
      <c r="ADB130" s="98"/>
      <c r="ADC130" s="98"/>
      <c r="ADD130" s="98"/>
      <c r="ADE130" s="98"/>
      <c r="ADF130" s="98"/>
      <c r="ADG130" s="98"/>
      <c r="ADH130" s="98"/>
      <c r="ADI130" s="98"/>
      <c r="ADJ130" s="98"/>
      <c r="ADK130" s="98"/>
      <c r="ADL130" s="98"/>
      <c r="ADM130" s="98"/>
      <c r="ADN130" s="98"/>
      <c r="ADO130" s="98"/>
      <c r="ADP130" s="98"/>
      <c r="ADQ130" s="98"/>
      <c r="ADR130" s="98"/>
      <c r="ADS130" s="98"/>
      <c r="ADT130" s="98"/>
      <c r="ADU130" s="98"/>
      <c r="ADV130" s="98"/>
      <c r="ADW130" s="98"/>
      <c r="ADX130" s="98"/>
      <c r="ADY130" s="98"/>
      <c r="ADZ130" s="98"/>
      <c r="AEA130" s="98"/>
      <c r="AEB130" s="98"/>
      <c r="AEC130" s="98"/>
      <c r="AED130" s="98"/>
      <c r="AEE130" s="98"/>
      <c r="AEF130" s="98"/>
      <c r="AEG130" s="98"/>
      <c r="AEH130" s="98"/>
      <c r="AEI130" s="98"/>
      <c r="AEJ130" s="98"/>
      <c r="AEK130" s="98"/>
      <c r="AEL130" s="98"/>
      <c r="AEM130" s="98"/>
      <c r="AEN130" s="98"/>
      <c r="AEO130" s="98"/>
      <c r="AEP130" s="98"/>
      <c r="AEQ130" s="98"/>
      <c r="AER130" s="98"/>
      <c r="AES130" s="98"/>
      <c r="AET130" s="98"/>
      <c r="AEU130" s="98"/>
      <c r="AEV130" s="98"/>
      <c r="AEW130" s="98"/>
      <c r="AEX130" s="98"/>
      <c r="AEY130" s="98"/>
      <c r="AEZ130" s="98"/>
      <c r="AFA130" s="98"/>
      <c r="AFB130" s="98"/>
      <c r="AFC130" s="98"/>
      <c r="AFD130" s="98"/>
      <c r="AFE130" s="98"/>
      <c r="AFF130" s="98"/>
      <c r="AFG130" s="98"/>
      <c r="AFH130" s="98"/>
      <c r="AFI130" s="98"/>
      <c r="AFJ130" s="98"/>
      <c r="AFK130" s="98"/>
      <c r="AFL130" s="98"/>
      <c r="AFM130" s="98"/>
      <c r="AFN130" s="98"/>
      <c r="AFO130" s="98"/>
      <c r="AFP130" s="98"/>
      <c r="AFQ130" s="98"/>
      <c r="AFR130" s="98"/>
      <c r="AFS130" s="98"/>
      <c r="AFT130" s="98"/>
      <c r="AFU130" s="98"/>
      <c r="AFV130" s="98"/>
      <c r="AFW130" s="98"/>
      <c r="AFX130" s="98"/>
      <c r="AFY130" s="98"/>
      <c r="AFZ130" s="98"/>
      <c r="AGA130" s="98"/>
      <c r="AGB130" s="98"/>
      <c r="AGC130" s="98"/>
      <c r="AGD130" s="98"/>
      <c r="AGE130" s="98"/>
      <c r="AGF130" s="98"/>
      <c r="AGG130" s="98"/>
      <c r="AGH130" s="98"/>
      <c r="AGI130" s="98"/>
      <c r="AGJ130" s="98"/>
      <c r="AGK130" s="98"/>
      <c r="AGL130" s="98"/>
      <c r="AGM130" s="98"/>
      <c r="AGN130" s="98"/>
      <c r="AGO130" s="98"/>
      <c r="AGP130" s="98"/>
      <c r="AGQ130" s="98"/>
      <c r="AGR130" s="98"/>
      <c r="AGS130" s="98"/>
      <c r="AGT130" s="98"/>
      <c r="AGU130" s="98"/>
      <c r="AGV130" s="98"/>
      <c r="AGW130" s="98"/>
      <c r="AGX130" s="98"/>
      <c r="AGY130" s="98"/>
      <c r="AGZ130" s="98"/>
      <c r="AHA130" s="98"/>
      <c r="AHB130" s="98"/>
      <c r="AHC130" s="98"/>
      <c r="AHD130" s="98"/>
      <c r="AHE130" s="98"/>
      <c r="AHF130" s="98"/>
      <c r="AHG130" s="98"/>
      <c r="AHH130" s="98"/>
      <c r="AHI130" s="98"/>
      <c r="AHJ130" s="98"/>
      <c r="AHK130" s="98"/>
      <c r="AHL130" s="98"/>
      <c r="AHM130" s="98"/>
      <c r="AHN130" s="98"/>
      <c r="AHO130" s="98"/>
      <c r="AHP130" s="98"/>
      <c r="AHQ130" s="98"/>
      <c r="AHR130" s="98"/>
      <c r="AHS130" s="98"/>
      <c r="AHT130" s="98"/>
      <c r="AHU130" s="98"/>
      <c r="AHV130" s="98"/>
      <c r="AHW130" s="98"/>
      <c r="AHX130" s="98"/>
      <c r="AHY130" s="98"/>
      <c r="AHZ130" s="98"/>
      <c r="AIA130" s="98"/>
      <c r="AIB130" s="98"/>
      <c r="AIC130" s="98"/>
      <c r="AID130" s="98"/>
      <c r="AIE130" s="98"/>
      <c r="AIF130" s="98"/>
      <c r="AIG130" s="98"/>
      <c r="AIH130" s="98"/>
      <c r="AII130" s="98"/>
      <c r="AIJ130" s="98"/>
      <c r="AIK130" s="98"/>
      <c r="AIL130" s="98"/>
      <c r="AIM130" s="98"/>
      <c r="AIN130" s="98"/>
      <c r="AIO130" s="98"/>
      <c r="AIP130" s="98"/>
      <c r="AIQ130" s="98"/>
      <c r="AIR130" s="98"/>
      <c r="AIS130" s="98"/>
      <c r="AIT130" s="98"/>
      <c r="AIU130" s="98"/>
      <c r="AIV130" s="98"/>
      <c r="AIW130" s="98"/>
      <c r="AIX130" s="98"/>
      <c r="AIY130" s="98"/>
      <c r="AIZ130" s="98"/>
      <c r="AJA130" s="98"/>
      <c r="AJB130" s="98"/>
      <c r="AJC130" s="98"/>
      <c r="AJD130" s="98"/>
      <c r="AJE130" s="98"/>
      <c r="AJF130" s="98"/>
      <c r="AJG130" s="98"/>
      <c r="AJH130" s="98"/>
      <c r="AJI130" s="98"/>
      <c r="AJJ130" s="98"/>
      <c r="AJK130" s="98"/>
      <c r="AJL130" s="98"/>
      <c r="AJM130" s="98"/>
      <c r="AJN130" s="98"/>
      <c r="AJO130" s="98"/>
      <c r="AJP130" s="98"/>
      <c r="AJQ130" s="98"/>
      <c r="AJR130" s="98"/>
      <c r="AJS130" s="98"/>
      <c r="AJT130" s="98"/>
      <c r="AJU130" s="98"/>
      <c r="AJV130" s="98"/>
      <c r="AJW130" s="98"/>
      <c r="AJX130" s="98"/>
      <c r="AJY130" s="98"/>
      <c r="AJZ130" s="98"/>
      <c r="AKA130" s="98"/>
      <c r="AKB130" s="98"/>
      <c r="AKC130" s="98"/>
      <c r="AKD130" s="98"/>
      <c r="AKE130" s="98"/>
      <c r="AKF130" s="98"/>
      <c r="AKG130" s="98"/>
      <c r="AKH130" s="98"/>
      <c r="AKI130" s="98"/>
      <c r="AKJ130" s="98"/>
      <c r="AKK130" s="98"/>
      <c r="AKL130" s="98"/>
      <c r="AKM130" s="98"/>
      <c r="AKN130" s="98"/>
      <c r="AKO130" s="98"/>
      <c r="AKP130" s="98"/>
      <c r="AKQ130" s="98"/>
      <c r="AKR130" s="98"/>
      <c r="AKS130" s="98"/>
      <c r="AKT130" s="98"/>
      <c r="AKU130" s="98"/>
      <c r="AKV130" s="98"/>
      <c r="AKW130" s="98"/>
      <c r="AKX130" s="98"/>
      <c r="AKY130" s="98"/>
      <c r="AKZ130" s="98"/>
      <c r="ALA130" s="98"/>
      <c r="ALB130" s="98"/>
      <c r="ALC130" s="98"/>
      <c r="ALD130" s="98"/>
      <c r="ALE130" s="98"/>
      <c r="ALF130" s="98"/>
      <c r="ALG130" s="98"/>
      <c r="ALH130" s="98"/>
      <c r="ALI130" s="98"/>
      <c r="ALJ130" s="98"/>
      <c r="ALK130" s="98"/>
      <c r="ALL130" s="98"/>
      <c r="ALM130" s="98"/>
      <c r="ALN130" s="98"/>
      <c r="ALO130" s="98"/>
      <c r="ALP130" s="98"/>
      <c r="ALQ130" s="98"/>
      <c r="ALR130" s="98"/>
      <c r="ALS130" s="98"/>
      <c r="ALT130" s="98"/>
      <c r="ALU130" s="98"/>
      <c r="ALV130" s="98"/>
      <c r="ALW130" s="98"/>
      <c r="ALX130" s="98"/>
      <c r="ALY130" s="98"/>
      <c r="ALZ130" s="98"/>
      <c r="AMA130" s="98"/>
      <c r="AMB130" s="98"/>
      <c r="AMC130" s="98"/>
      <c r="AMD130" s="98"/>
      <c r="AME130" s="98"/>
      <c r="AMF130" s="98"/>
      <c r="AMG130" s="98"/>
      <c r="AMH130" s="98"/>
      <c r="AMI130" s="98"/>
      <c r="AMJ130" s="98"/>
      <c r="AMK130" s="98"/>
      <c r="AML130" s="98"/>
      <c r="AMM130" s="98"/>
      <c r="AMN130" s="98"/>
      <c r="AMO130" s="98"/>
      <c r="AMP130" s="98"/>
      <c r="AMQ130" s="98"/>
      <c r="AMR130" s="98"/>
      <c r="AMS130" s="98"/>
      <c r="AMT130" s="98"/>
      <c r="AMU130" s="98"/>
      <c r="AMV130" s="98"/>
      <c r="AMW130" s="98"/>
      <c r="AMX130" s="98"/>
      <c r="AMY130" s="98"/>
      <c r="AMZ130" s="98"/>
      <c r="ANA130" s="98"/>
      <c r="ANB130" s="98"/>
      <c r="ANC130" s="98"/>
      <c r="AND130" s="98"/>
      <c r="ANE130" s="98"/>
      <c r="ANF130" s="98"/>
      <c r="ANG130" s="98"/>
      <c r="ANH130" s="98"/>
      <c r="ANI130" s="98"/>
      <c r="ANJ130" s="98"/>
      <c r="ANK130" s="98"/>
      <c r="ANL130" s="98"/>
      <c r="ANM130" s="98"/>
      <c r="ANN130" s="98"/>
      <c r="ANO130" s="98"/>
      <c r="ANP130" s="98"/>
      <c r="ANQ130" s="98"/>
      <c r="ANR130" s="98"/>
      <c r="ANS130" s="98"/>
      <c r="ANT130" s="98"/>
      <c r="ANU130" s="98"/>
      <c r="ANV130" s="98"/>
      <c r="ANW130" s="98"/>
      <c r="ANX130" s="98"/>
      <c r="ANY130" s="98"/>
      <c r="ANZ130" s="98"/>
      <c r="AOA130" s="98"/>
      <c r="AOB130" s="98"/>
      <c r="AOC130" s="98"/>
      <c r="AOD130" s="98"/>
      <c r="AOE130" s="98"/>
      <c r="AOF130" s="98"/>
      <c r="AOG130" s="98"/>
      <c r="AOH130" s="98"/>
      <c r="AOI130" s="98"/>
      <c r="AOJ130" s="98"/>
      <c r="AOK130" s="98"/>
      <c r="AOL130" s="98"/>
      <c r="AOM130" s="98"/>
      <c r="AON130" s="98"/>
      <c r="AOO130" s="98"/>
      <c r="AOP130" s="98"/>
      <c r="AOQ130" s="98"/>
      <c r="AOR130" s="98"/>
      <c r="AOS130" s="98"/>
      <c r="AOT130" s="98"/>
      <c r="AOU130" s="98"/>
      <c r="AOV130" s="98"/>
      <c r="AOW130" s="98"/>
      <c r="AOX130" s="98"/>
      <c r="AOY130" s="98"/>
      <c r="AOZ130" s="98"/>
      <c r="APA130" s="98"/>
      <c r="APB130" s="98"/>
      <c r="APC130" s="98"/>
      <c r="APD130" s="98"/>
      <c r="APE130" s="98"/>
      <c r="APF130" s="98"/>
      <c r="APG130" s="98"/>
      <c r="APH130" s="98"/>
      <c r="API130" s="98"/>
      <c r="APJ130" s="98"/>
      <c r="APK130" s="98"/>
      <c r="APL130" s="98"/>
      <c r="APM130" s="98"/>
      <c r="APN130" s="98"/>
      <c r="APO130" s="98"/>
      <c r="APP130" s="98"/>
      <c r="APQ130" s="98"/>
      <c r="APR130" s="98"/>
      <c r="APS130" s="98"/>
      <c r="APT130" s="98"/>
      <c r="APU130" s="98"/>
      <c r="APV130" s="98"/>
      <c r="APW130" s="98"/>
      <c r="APX130" s="98"/>
      <c r="APY130" s="98"/>
      <c r="APZ130" s="98"/>
      <c r="AQA130" s="98"/>
      <c r="AQB130" s="98"/>
      <c r="AQC130" s="98"/>
      <c r="AQD130" s="98"/>
      <c r="AQE130" s="98"/>
      <c r="AQF130" s="98"/>
      <c r="AQG130" s="98"/>
      <c r="AQH130" s="98"/>
      <c r="AQI130" s="98"/>
      <c r="AQJ130" s="98"/>
      <c r="AQK130" s="98"/>
      <c r="AQL130" s="98"/>
      <c r="AQM130" s="98"/>
      <c r="AQN130" s="98"/>
      <c r="AQO130" s="98"/>
      <c r="AQP130" s="98"/>
      <c r="AQQ130" s="98"/>
      <c r="AQR130" s="98"/>
      <c r="AQS130" s="98"/>
      <c r="AQT130" s="98"/>
      <c r="AQU130" s="98"/>
      <c r="AQV130" s="98"/>
      <c r="AQW130" s="98"/>
      <c r="AQX130" s="98"/>
      <c r="AQY130" s="98"/>
      <c r="AQZ130" s="98"/>
      <c r="ARA130" s="98"/>
      <c r="ARB130" s="98"/>
      <c r="ARC130" s="98"/>
      <c r="ARD130" s="98"/>
      <c r="ARE130" s="98"/>
      <c r="ARF130" s="98"/>
      <c r="ARG130" s="98"/>
      <c r="ARH130" s="98"/>
      <c r="ARI130" s="98"/>
      <c r="ARJ130" s="98"/>
      <c r="ARK130" s="98"/>
      <c r="ARL130" s="98"/>
      <c r="ARM130" s="98"/>
      <c r="ARN130" s="98"/>
      <c r="ARO130" s="98"/>
      <c r="ARP130" s="98"/>
      <c r="ARQ130" s="98"/>
      <c r="ARR130" s="98"/>
      <c r="ARS130" s="98"/>
      <c r="ART130" s="98"/>
      <c r="ARU130" s="98"/>
      <c r="ARV130" s="98"/>
      <c r="ARW130" s="98"/>
      <c r="ARX130" s="98"/>
      <c r="ARY130" s="98"/>
      <c r="ARZ130" s="98"/>
      <c r="ASA130" s="98"/>
      <c r="ASB130" s="98"/>
      <c r="ASC130" s="98"/>
      <c r="ASD130" s="98"/>
      <c r="ASE130" s="98"/>
      <c r="ASF130" s="98"/>
      <c r="ASG130" s="98"/>
      <c r="ASH130" s="98"/>
      <c r="ASI130" s="98"/>
      <c r="ASJ130" s="98"/>
      <c r="ASK130" s="98"/>
      <c r="ASL130" s="98"/>
      <c r="ASM130" s="98"/>
      <c r="ASN130" s="98"/>
      <c r="ASO130" s="98"/>
      <c r="ASP130" s="98"/>
      <c r="ASQ130" s="98"/>
      <c r="ASR130" s="98"/>
      <c r="ASS130" s="98"/>
      <c r="AST130" s="98"/>
      <c r="ASU130" s="98"/>
      <c r="ASV130" s="98"/>
      <c r="ASW130" s="98"/>
      <c r="ASX130" s="98"/>
      <c r="ASY130" s="98"/>
      <c r="ASZ130" s="98"/>
      <c r="ATA130" s="98"/>
      <c r="ATB130" s="98"/>
      <c r="ATC130" s="98"/>
      <c r="ATD130" s="98"/>
      <c r="ATE130" s="98"/>
      <c r="ATF130" s="98"/>
      <c r="ATG130" s="98"/>
      <c r="ATH130" s="98"/>
      <c r="ATI130" s="98"/>
      <c r="ATJ130" s="98"/>
      <c r="ATK130" s="98"/>
      <c r="ATL130" s="98"/>
      <c r="ATM130" s="98"/>
      <c r="ATN130" s="98"/>
      <c r="ATO130" s="98"/>
      <c r="ATP130" s="98"/>
      <c r="ATQ130" s="98"/>
      <c r="ATR130" s="98"/>
      <c r="ATS130" s="98"/>
      <c r="ATT130" s="98"/>
      <c r="ATU130" s="98"/>
      <c r="ATV130" s="98"/>
      <c r="ATW130" s="98"/>
      <c r="ATX130" s="98"/>
      <c r="ATY130" s="98"/>
      <c r="ATZ130" s="98"/>
      <c r="AUA130" s="98"/>
      <c r="AUB130" s="98"/>
      <c r="AUC130" s="98"/>
      <c r="AUD130" s="98"/>
      <c r="AUE130" s="98"/>
      <c r="AUF130" s="98"/>
      <c r="AUG130" s="98"/>
      <c r="AUH130" s="98"/>
      <c r="AUI130" s="98"/>
      <c r="AUJ130" s="98"/>
      <c r="AUK130" s="98"/>
      <c r="AUL130" s="98"/>
      <c r="AUM130" s="98"/>
      <c r="AUN130" s="98"/>
      <c r="AUO130" s="98"/>
      <c r="AUP130" s="98"/>
      <c r="AUQ130" s="98"/>
      <c r="AUR130" s="98"/>
      <c r="AUS130" s="98"/>
      <c r="AUT130" s="98"/>
      <c r="AUU130" s="98"/>
      <c r="AUV130" s="98"/>
      <c r="AUW130" s="98"/>
      <c r="AUX130" s="98"/>
      <c r="AUY130" s="98"/>
      <c r="AUZ130" s="98"/>
      <c r="AVA130" s="98"/>
      <c r="AVB130" s="98"/>
      <c r="AVC130" s="98"/>
      <c r="AVD130" s="98"/>
      <c r="AVE130" s="98"/>
      <c r="AVF130" s="98"/>
      <c r="AVG130" s="98"/>
      <c r="AVH130" s="98"/>
      <c r="AVI130" s="98"/>
      <c r="AVJ130" s="98"/>
      <c r="AVK130" s="98"/>
      <c r="AVL130" s="98"/>
      <c r="AVM130" s="98"/>
      <c r="AVN130" s="98"/>
      <c r="AVO130" s="98"/>
      <c r="AVP130" s="98"/>
      <c r="AVQ130" s="98"/>
      <c r="AVR130" s="98"/>
      <c r="AVS130" s="98"/>
      <c r="AVT130" s="98"/>
      <c r="AVU130" s="98"/>
      <c r="AVV130" s="98"/>
      <c r="AVW130" s="98"/>
      <c r="AVX130" s="98"/>
      <c r="AVY130" s="98"/>
      <c r="AVZ130" s="98"/>
      <c r="AWA130" s="98"/>
      <c r="AWB130" s="98"/>
      <c r="AWC130" s="98"/>
      <c r="AWD130" s="98"/>
      <c r="AWE130" s="98"/>
      <c r="AWF130" s="98"/>
      <c r="AWG130" s="98"/>
      <c r="AWH130" s="98"/>
      <c r="AWI130" s="98"/>
      <c r="AWJ130" s="98"/>
      <c r="AWK130" s="98"/>
      <c r="AWL130" s="98"/>
      <c r="AWM130" s="98"/>
      <c r="AWN130" s="98"/>
      <c r="AWO130" s="98"/>
      <c r="AWP130" s="98"/>
      <c r="AWQ130" s="98"/>
      <c r="AWR130" s="98"/>
      <c r="AWS130" s="98"/>
      <c r="AWT130" s="98"/>
      <c r="AWU130" s="98"/>
      <c r="AWV130" s="98"/>
      <c r="AWW130" s="98"/>
      <c r="AWX130" s="98"/>
      <c r="AWY130" s="98"/>
      <c r="AWZ130" s="98"/>
      <c r="AXA130" s="98"/>
      <c r="AXB130" s="98"/>
      <c r="AXC130" s="98"/>
      <c r="AXD130" s="98"/>
      <c r="AXE130" s="98"/>
      <c r="AXF130" s="98"/>
      <c r="AXG130" s="98"/>
      <c r="AXH130" s="98"/>
      <c r="AXI130" s="98"/>
      <c r="AXJ130" s="98"/>
      <c r="AXK130" s="98"/>
      <c r="AXL130" s="98"/>
      <c r="AXM130" s="98"/>
      <c r="AXN130" s="98"/>
      <c r="AXO130" s="98"/>
      <c r="AXP130" s="98"/>
      <c r="AXQ130" s="98"/>
      <c r="AXR130" s="98"/>
      <c r="AXS130" s="98"/>
      <c r="AXT130" s="98"/>
      <c r="AXU130" s="98"/>
      <c r="AXV130" s="98"/>
      <c r="AXW130" s="98"/>
      <c r="AXX130" s="98"/>
      <c r="AXY130" s="98"/>
      <c r="AXZ130" s="98"/>
      <c r="AYA130" s="98"/>
      <c r="AYB130" s="98"/>
      <c r="AYC130" s="98"/>
      <c r="AYD130" s="98"/>
      <c r="AYE130" s="98"/>
      <c r="AYF130" s="98"/>
      <c r="AYG130" s="98"/>
      <c r="AYH130" s="98"/>
      <c r="AYI130" s="98"/>
      <c r="AYJ130" s="98"/>
      <c r="AYK130" s="98"/>
      <c r="AYL130" s="98"/>
      <c r="AYM130" s="98"/>
      <c r="AYN130" s="98"/>
      <c r="AYO130" s="98"/>
      <c r="AYP130" s="98"/>
      <c r="AYQ130" s="98"/>
      <c r="AYR130" s="98"/>
      <c r="AYS130" s="98"/>
      <c r="AYT130" s="98"/>
      <c r="AYU130" s="98"/>
      <c r="AYV130" s="98"/>
      <c r="AYW130" s="98"/>
      <c r="AYX130" s="98"/>
      <c r="AYY130" s="98"/>
      <c r="AYZ130" s="98"/>
      <c r="AZA130" s="98"/>
      <c r="AZB130" s="98"/>
      <c r="AZC130" s="98"/>
      <c r="AZD130" s="98"/>
      <c r="AZE130" s="98"/>
      <c r="AZF130" s="98"/>
      <c r="AZG130" s="98"/>
      <c r="AZH130" s="98"/>
      <c r="AZI130" s="98"/>
      <c r="AZJ130" s="98"/>
      <c r="AZK130" s="98"/>
      <c r="AZL130" s="98"/>
      <c r="AZM130" s="98"/>
      <c r="AZN130" s="98"/>
      <c r="AZO130" s="98"/>
      <c r="AZP130" s="98"/>
      <c r="AZQ130" s="98"/>
      <c r="AZR130" s="98"/>
      <c r="AZS130" s="98"/>
      <c r="AZT130" s="98"/>
      <c r="AZU130" s="98"/>
      <c r="AZV130" s="98"/>
      <c r="AZW130" s="98"/>
      <c r="AZX130" s="98"/>
      <c r="AZY130" s="98"/>
      <c r="AZZ130" s="98"/>
      <c r="BAA130" s="98"/>
      <c r="BAB130" s="98"/>
      <c r="BAC130" s="98"/>
      <c r="BAD130" s="98"/>
      <c r="BAE130" s="98"/>
      <c r="BAF130" s="98"/>
      <c r="BAG130" s="98"/>
      <c r="BAH130" s="98"/>
      <c r="BAI130" s="98"/>
      <c r="BAJ130" s="98"/>
      <c r="BAK130" s="98"/>
      <c r="BAL130" s="98"/>
      <c r="BAM130" s="98"/>
      <c r="BAN130" s="98"/>
      <c r="BAO130" s="98"/>
      <c r="BAP130" s="98"/>
      <c r="BAQ130" s="98"/>
      <c r="BAR130" s="98"/>
      <c r="BAS130" s="98"/>
      <c r="BAT130" s="98"/>
      <c r="BAU130" s="98"/>
      <c r="BAV130" s="98"/>
      <c r="BAW130" s="98"/>
      <c r="BAX130" s="98"/>
      <c r="BAY130" s="98"/>
      <c r="BAZ130" s="98"/>
      <c r="BBA130" s="98"/>
      <c r="BBB130" s="98"/>
      <c r="BBC130" s="98"/>
      <c r="BBD130" s="98"/>
      <c r="BBE130" s="98"/>
      <c r="BBF130" s="98"/>
      <c r="BBG130" s="98"/>
      <c r="BBH130" s="98"/>
      <c r="BBI130" s="98"/>
      <c r="BBJ130" s="98"/>
      <c r="BBK130" s="98"/>
      <c r="BBL130" s="98"/>
      <c r="BBM130" s="98"/>
      <c r="BBN130" s="98"/>
      <c r="BBO130" s="98"/>
      <c r="BBP130" s="98"/>
      <c r="BBQ130" s="98"/>
      <c r="BBR130" s="98"/>
      <c r="BBS130" s="98"/>
      <c r="BBT130" s="98"/>
      <c r="BBU130" s="98"/>
      <c r="BBV130" s="98"/>
      <c r="BBW130" s="98"/>
      <c r="BBX130" s="98"/>
      <c r="BBY130" s="98"/>
      <c r="BBZ130" s="98"/>
      <c r="BCA130" s="98"/>
      <c r="BCB130" s="98"/>
      <c r="BCC130" s="98"/>
      <c r="BCD130" s="98"/>
      <c r="BCE130" s="98"/>
      <c r="BCF130" s="98"/>
      <c r="BCG130" s="98"/>
      <c r="BCH130" s="98"/>
      <c r="BCI130" s="98"/>
      <c r="BCJ130" s="98"/>
      <c r="BCK130" s="98"/>
      <c r="BCL130" s="98"/>
      <c r="BCM130" s="98"/>
      <c r="BCN130" s="98"/>
      <c r="BCO130" s="98"/>
      <c r="BCP130" s="98"/>
      <c r="BCQ130" s="98"/>
      <c r="BCR130" s="98"/>
      <c r="BCS130" s="98"/>
      <c r="BCT130" s="98"/>
      <c r="BCU130" s="98"/>
      <c r="BCV130" s="98"/>
      <c r="BCW130" s="98"/>
      <c r="BCX130" s="98"/>
      <c r="BCY130" s="98"/>
      <c r="BCZ130" s="98"/>
      <c r="BDA130" s="98"/>
      <c r="BDB130" s="98"/>
      <c r="BDC130" s="98"/>
      <c r="BDD130" s="98"/>
      <c r="BDE130" s="98"/>
      <c r="BDF130" s="98"/>
      <c r="BDG130" s="98"/>
      <c r="BDH130" s="98"/>
      <c r="BDI130" s="98"/>
      <c r="BDJ130" s="98"/>
      <c r="BDK130" s="98"/>
      <c r="BDL130" s="98"/>
      <c r="BDM130" s="98"/>
      <c r="BDN130" s="98"/>
      <c r="BDO130" s="98"/>
      <c r="BDP130" s="98"/>
      <c r="BDQ130" s="98"/>
      <c r="BDR130" s="98"/>
      <c r="BDS130" s="98"/>
      <c r="BDT130" s="98"/>
      <c r="BDU130" s="98"/>
      <c r="BDV130" s="98"/>
      <c r="BDW130" s="98"/>
      <c r="BDX130" s="98"/>
      <c r="BDY130" s="98"/>
      <c r="BDZ130" s="98"/>
      <c r="BEA130" s="98"/>
      <c r="BEB130" s="98"/>
      <c r="BEC130" s="98"/>
      <c r="BED130" s="98"/>
      <c r="BEE130" s="98"/>
      <c r="BEF130" s="98"/>
      <c r="BEG130" s="98"/>
      <c r="BEH130" s="98"/>
      <c r="BEI130" s="98"/>
      <c r="BEJ130" s="98"/>
      <c r="BEK130" s="98"/>
      <c r="BEL130" s="98"/>
      <c r="BEM130" s="98"/>
      <c r="BEN130" s="98"/>
      <c r="BEO130" s="98"/>
      <c r="BEP130" s="98"/>
      <c r="BEQ130" s="98"/>
      <c r="BER130" s="98"/>
      <c r="BES130" s="98"/>
      <c r="BET130" s="98"/>
      <c r="BEU130" s="98"/>
      <c r="BEV130" s="98"/>
      <c r="BEW130" s="98"/>
      <c r="BEX130" s="98"/>
      <c r="BEY130" s="98"/>
      <c r="BEZ130" s="98"/>
      <c r="BFA130" s="98"/>
      <c r="BFB130" s="98"/>
      <c r="BFC130" s="98"/>
      <c r="BFD130" s="98"/>
      <c r="BFE130" s="98"/>
      <c r="BFF130" s="98"/>
      <c r="BFG130" s="98"/>
      <c r="BFH130" s="98"/>
      <c r="BFI130" s="98"/>
      <c r="BFJ130" s="98"/>
      <c r="BFK130" s="98"/>
      <c r="BFL130" s="98"/>
      <c r="BFM130" s="98"/>
      <c r="BFN130" s="98"/>
      <c r="BFO130" s="98"/>
      <c r="BFP130" s="98"/>
      <c r="BFQ130" s="98"/>
      <c r="BFR130" s="98"/>
      <c r="BFS130" s="98"/>
      <c r="BFT130" s="98"/>
      <c r="BFU130" s="98"/>
      <c r="BFV130" s="98"/>
      <c r="BFW130" s="98"/>
      <c r="BFX130" s="98"/>
      <c r="BFY130" s="98"/>
      <c r="BFZ130" s="98"/>
      <c r="BGA130" s="98"/>
      <c r="BGB130" s="98"/>
      <c r="BGC130" s="98"/>
      <c r="BGD130" s="98"/>
      <c r="BGE130" s="98"/>
      <c r="BGF130" s="98"/>
      <c r="BGG130" s="98"/>
      <c r="BGH130" s="98"/>
      <c r="BGI130" s="98"/>
      <c r="BGJ130" s="98"/>
      <c r="BGK130" s="98"/>
      <c r="BGL130" s="98"/>
      <c r="BGM130" s="98"/>
      <c r="BGN130" s="98"/>
      <c r="BGO130" s="98"/>
      <c r="BGP130" s="98"/>
      <c r="BGQ130" s="98"/>
      <c r="BGR130" s="98"/>
      <c r="BGS130" s="98"/>
      <c r="BGT130" s="98"/>
      <c r="BGU130" s="98"/>
      <c r="BGV130" s="98"/>
      <c r="BGW130" s="98"/>
      <c r="BGX130" s="98"/>
      <c r="BGY130" s="98"/>
      <c r="BGZ130" s="98"/>
      <c r="BHA130" s="98"/>
      <c r="BHB130" s="98"/>
      <c r="BHC130" s="98"/>
      <c r="BHD130" s="98"/>
      <c r="BHE130" s="98"/>
      <c r="BHF130" s="98"/>
      <c r="BHG130" s="98"/>
      <c r="BHH130" s="98"/>
      <c r="BHI130" s="98"/>
      <c r="BHJ130" s="98"/>
      <c r="BHK130" s="98"/>
      <c r="BHL130" s="98"/>
      <c r="BHM130" s="98"/>
      <c r="BHN130" s="98"/>
      <c r="BHO130" s="98"/>
      <c r="BHP130" s="98"/>
      <c r="BHQ130" s="98"/>
      <c r="BHR130" s="98"/>
      <c r="BHS130" s="98"/>
      <c r="BHT130" s="98"/>
      <c r="BHU130" s="98"/>
      <c r="BHV130" s="98"/>
      <c r="BHW130" s="98"/>
      <c r="BHX130" s="98"/>
      <c r="BHY130" s="98"/>
      <c r="BHZ130" s="98"/>
      <c r="BIA130" s="98"/>
      <c r="BIB130" s="98"/>
      <c r="BIC130" s="98"/>
      <c r="BID130" s="98"/>
      <c r="BIE130" s="98"/>
      <c r="BIF130" s="98"/>
      <c r="BIG130" s="98"/>
      <c r="BIH130" s="98"/>
      <c r="BII130" s="98"/>
      <c r="BIJ130" s="98"/>
      <c r="BIK130" s="98"/>
      <c r="BIL130" s="98"/>
      <c r="BIM130" s="98"/>
      <c r="BIN130" s="98"/>
      <c r="BIO130" s="98"/>
      <c r="BIP130" s="98"/>
      <c r="BIQ130" s="98"/>
      <c r="BIR130" s="98"/>
      <c r="BIS130" s="98"/>
      <c r="BIT130" s="98"/>
      <c r="BIU130" s="98"/>
      <c r="BIV130" s="98"/>
      <c r="BIW130" s="98"/>
      <c r="BIX130" s="98"/>
      <c r="BIY130" s="98"/>
      <c r="BIZ130" s="98"/>
      <c r="BJA130" s="98"/>
      <c r="BJB130" s="98"/>
      <c r="BJC130" s="98"/>
      <c r="BJD130" s="98"/>
      <c r="BJE130" s="98"/>
      <c r="BJF130" s="98"/>
      <c r="BJG130" s="98"/>
      <c r="BJH130" s="98"/>
      <c r="BJI130" s="98"/>
      <c r="BJJ130" s="98"/>
      <c r="BJK130" s="98"/>
      <c r="BJL130" s="98"/>
      <c r="BJM130" s="98"/>
      <c r="BJN130" s="98"/>
      <c r="BJO130" s="98"/>
      <c r="BJP130" s="98"/>
      <c r="BJQ130" s="98"/>
      <c r="BJR130" s="98"/>
      <c r="BJS130" s="98"/>
      <c r="BJT130" s="98"/>
      <c r="BJU130" s="98"/>
      <c r="BJV130" s="98"/>
      <c r="BJW130" s="98"/>
      <c r="BJX130" s="98"/>
      <c r="BJY130" s="98"/>
      <c r="BJZ130" s="98"/>
      <c r="BKA130" s="98"/>
      <c r="BKB130" s="98"/>
      <c r="BKC130" s="98"/>
      <c r="BKD130" s="98"/>
      <c r="BKE130" s="98"/>
      <c r="BKF130" s="98"/>
      <c r="BKG130" s="98"/>
      <c r="BKH130" s="98"/>
      <c r="BKI130" s="98"/>
      <c r="BKJ130" s="98"/>
      <c r="BKK130" s="98"/>
      <c r="BKL130" s="98"/>
      <c r="BKM130" s="98"/>
      <c r="BKN130" s="98"/>
      <c r="BKO130" s="98"/>
      <c r="BKP130" s="98"/>
      <c r="BKQ130" s="98"/>
      <c r="BKR130" s="98"/>
      <c r="BKS130" s="98"/>
      <c r="BKT130" s="98"/>
      <c r="BKU130" s="98"/>
      <c r="BKV130" s="98"/>
      <c r="BKW130" s="98"/>
      <c r="BKX130" s="98"/>
      <c r="BKY130" s="98"/>
      <c r="BKZ130" s="98"/>
      <c r="BLA130" s="98"/>
      <c r="BLB130" s="98"/>
      <c r="BLC130" s="98"/>
      <c r="BLD130" s="98"/>
      <c r="BLE130" s="98"/>
      <c r="BLF130" s="98"/>
      <c r="BLG130" s="98"/>
      <c r="BLH130" s="98"/>
      <c r="BLI130" s="98"/>
      <c r="BLJ130" s="98"/>
      <c r="BLK130" s="98"/>
      <c r="BLL130" s="98"/>
      <c r="BLM130" s="98"/>
      <c r="BLN130" s="98"/>
      <c r="BLO130" s="98"/>
      <c r="BLP130" s="98"/>
      <c r="BLQ130" s="98"/>
      <c r="BLR130" s="98"/>
      <c r="BLS130" s="98"/>
      <c r="BLT130" s="98"/>
      <c r="BLU130" s="98"/>
      <c r="BLV130" s="98"/>
      <c r="BLW130" s="98"/>
      <c r="BLX130" s="98"/>
      <c r="BLY130" s="98"/>
      <c r="BLZ130" s="98"/>
      <c r="BMA130" s="98"/>
      <c r="BMB130" s="98"/>
      <c r="BMC130" s="98"/>
      <c r="BMD130" s="98"/>
      <c r="BME130" s="98"/>
      <c r="BMF130" s="98"/>
      <c r="BMG130" s="98"/>
      <c r="BMH130" s="98"/>
      <c r="BMI130" s="98"/>
      <c r="BMJ130" s="98"/>
      <c r="BMK130" s="98"/>
      <c r="BML130" s="98"/>
      <c r="BMM130" s="98"/>
      <c r="BMN130" s="98"/>
      <c r="BMO130" s="98"/>
      <c r="BMP130" s="98"/>
      <c r="BMQ130" s="98"/>
      <c r="BMR130" s="98"/>
      <c r="BMS130" s="98"/>
      <c r="BMT130" s="98"/>
      <c r="BMU130" s="98"/>
      <c r="BMV130" s="98"/>
      <c r="BMW130" s="98"/>
      <c r="BMX130" s="98"/>
      <c r="BMY130" s="98"/>
      <c r="BMZ130" s="98"/>
      <c r="BNA130" s="98"/>
      <c r="BNB130" s="98"/>
      <c r="BNC130" s="98"/>
      <c r="BND130" s="98"/>
      <c r="BNE130" s="98"/>
      <c r="BNF130" s="98"/>
      <c r="BNG130" s="98"/>
      <c r="BNH130" s="98"/>
      <c r="BNI130" s="98"/>
      <c r="BNJ130" s="98"/>
      <c r="BNK130" s="98"/>
      <c r="BNL130" s="98"/>
      <c r="BNM130" s="98"/>
      <c r="BNN130" s="98"/>
      <c r="BNO130" s="98"/>
      <c r="BNP130" s="98"/>
      <c r="BNQ130" s="98"/>
      <c r="BNR130" s="98"/>
      <c r="BNS130" s="98"/>
      <c r="BNT130" s="98"/>
      <c r="BNU130" s="98"/>
      <c r="BNV130" s="98"/>
      <c r="BNW130" s="98"/>
      <c r="BNX130" s="98"/>
      <c r="BNY130" s="98"/>
      <c r="BNZ130" s="98"/>
      <c r="BOA130" s="98"/>
      <c r="BOB130" s="98"/>
      <c r="BOC130" s="98"/>
      <c r="BOD130" s="98"/>
      <c r="BOE130" s="98"/>
      <c r="BOF130" s="98"/>
      <c r="BOG130" s="98"/>
      <c r="BOH130" s="98"/>
      <c r="BOI130" s="98"/>
      <c r="BOJ130" s="98"/>
      <c r="BOK130" s="98"/>
      <c r="BOL130" s="98"/>
      <c r="BOM130" s="98"/>
      <c r="BON130" s="98"/>
      <c r="BOO130" s="98"/>
      <c r="BOP130" s="98"/>
      <c r="BOQ130" s="98"/>
      <c r="BOR130" s="98"/>
      <c r="BOS130" s="98"/>
      <c r="BOT130" s="98"/>
      <c r="BOU130" s="98"/>
      <c r="BOV130" s="98"/>
      <c r="BOW130" s="98"/>
      <c r="BOX130" s="98"/>
      <c r="BOY130" s="98"/>
      <c r="BOZ130" s="98"/>
      <c r="BPA130" s="98"/>
      <c r="BPB130" s="98"/>
      <c r="BPC130" s="98"/>
      <c r="BPD130" s="98"/>
      <c r="BPE130" s="98"/>
      <c r="BPF130" s="98"/>
      <c r="BPG130" s="98"/>
      <c r="BPH130" s="98"/>
      <c r="BPI130" s="98"/>
      <c r="BPJ130" s="98"/>
      <c r="BPK130" s="98"/>
      <c r="BPL130" s="98"/>
      <c r="BPM130" s="98"/>
      <c r="BPN130" s="98"/>
      <c r="BPO130" s="98"/>
      <c r="BPP130" s="98"/>
      <c r="BPQ130" s="98"/>
      <c r="BPR130" s="98"/>
      <c r="BPS130" s="98"/>
      <c r="BPT130" s="98"/>
      <c r="BPU130" s="98"/>
      <c r="BPV130" s="98"/>
      <c r="BPW130" s="98"/>
      <c r="BPX130" s="98"/>
      <c r="BPY130" s="98"/>
      <c r="BPZ130" s="98"/>
      <c r="BQA130" s="98"/>
      <c r="BQB130" s="98"/>
      <c r="BQC130" s="98"/>
      <c r="BQD130" s="98"/>
      <c r="BQE130" s="98"/>
      <c r="BQF130" s="98"/>
      <c r="BQG130" s="98"/>
      <c r="BQH130" s="98"/>
      <c r="BQI130" s="98"/>
      <c r="BQJ130" s="98"/>
      <c r="BQK130" s="98"/>
      <c r="BQL130" s="98"/>
      <c r="BQM130" s="98"/>
      <c r="BQN130" s="98"/>
      <c r="BQO130" s="98"/>
      <c r="BQP130" s="98"/>
      <c r="BQQ130" s="98"/>
      <c r="BQR130" s="98"/>
      <c r="BQS130" s="98"/>
      <c r="BQT130" s="98"/>
      <c r="BQU130" s="98"/>
      <c r="BQV130" s="98"/>
      <c r="BQW130" s="98"/>
      <c r="BQX130" s="98"/>
      <c r="BQY130" s="98"/>
      <c r="BQZ130" s="98"/>
      <c r="BRA130" s="98"/>
      <c r="BRB130" s="98"/>
      <c r="BRC130" s="98"/>
      <c r="BRD130" s="98"/>
      <c r="BRE130" s="98"/>
      <c r="BRF130" s="98"/>
      <c r="BRG130" s="98"/>
      <c r="BRH130" s="98"/>
      <c r="BRI130" s="98"/>
      <c r="BRJ130" s="98"/>
      <c r="BRK130" s="98"/>
      <c r="BRL130" s="98"/>
      <c r="BRM130" s="98"/>
      <c r="BRN130" s="98"/>
      <c r="BRO130" s="98"/>
      <c r="BRP130" s="98"/>
      <c r="BRQ130" s="98"/>
      <c r="BRR130" s="98"/>
      <c r="BRS130" s="98"/>
      <c r="BRT130" s="98"/>
      <c r="BRU130" s="98"/>
      <c r="BRV130" s="98"/>
      <c r="BRW130" s="98"/>
      <c r="BRX130" s="98"/>
      <c r="BRY130" s="98"/>
      <c r="BRZ130" s="98"/>
      <c r="BSA130" s="98"/>
      <c r="BSB130" s="98"/>
      <c r="BSC130" s="98"/>
      <c r="BSD130" s="98"/>
      <c r="BSE130" s="98"/>
      <c r="BSF130" s="98"/>
      <c r="BSG130" s="98"/>
      <c r="BSH130" s="98"/>
      <c r="BSI130" s="98"/>
      <c r="BSJ130" s="98"/>
      <c r="BSK130" s="98"/>
      <c r="BSL130" s="98"/>
      <c r="BSM130" s="98"/>
      <c r="BSN130" s="98"/>
      <c r="BSO130" s="98"/>
      <c r="BSP130" s="98"/>
      <c r="BSQ130" s="98"/>
      <c r="BSR130" s="98"/>
      <c r="BSS130" s="98"/>
      <c r="BST130" s="98"/>
      <c r="BSU130" s="98"/>
      <c r="BSV130" s="98"/>
      <c r="BSW130" s="98"/>
      <c r="BSX130" s="98"/>
      <c r="BSY130" s="98"/>
      <c r="BSZ130" s="98"/>
      <c r="BTA130" s="98"/>
      <c r="BTB130" s="98"/>
      <c r="BTC130" s="98"/>
      <c r="BTD130" s="98"/>
      <c r="BTE130" s="98"/>
      <c r="BTF130" s="98"/>
      <c r="BTG130" s="98"/>
      <c r="BTH130" s="98"/>
      <c r="BTI130" s="98"/>
      <c r="BTJ130" s="98"/>
      <c r="BTK130" s="98"/>
      <c r="BTL130" s="98"/>
      <c r="BTM130" s="98"/>
      <c r="BTN130" s="98"/>
      <c r="BTO130" s="98"/>
      <c r="BTP130" s="98"/>
      <c r="BTQ130" s="98"/>
      <c r="BTR130" s="98"/>
      <c r="BTS130" s="98"/>
      <c r="BTT130" s="98"/>
      <c r="BTU130" s="98"/>
      <c r="BTV130" s="98"/>
      <c r="BTW130" s="98"/>
      <c r="BTX130" s="98"/>
      <c r="BTY130" s="98"/>
      <c r="BTZ130" s="98"/>
      <c r="BUA130" s="98"/>
      <c r="BUB130" s="98"/>
      <c r="BUC130" s="98"/>
      <c r="BUD130" s="98"/>
      <c r="BUE130" s="98"/>
      <c r="BUF130" s="98"/>
      <c r="BUG130" s="98"/>
      <c r="BUH130" s="98"/>
      <c r="BUI130" s="98"/>
      <c r="BUJ130" s="98"/>
      <c r="BUK130" s="98"/>
      <c r="BUL130" s="98"/>
      <c r="BUM130" s="98"/>
      <c r="BUN130" s="98"/>
      <c r="BUO130" s="98"/>
      <c r="BUP130" s="98"/>
      <c r="BUQ130" s="98"/>
      <c r="BUR130" s="98"/>
      <c r="BUS130" s="98"/>
      <c r="BUT130" s="98"/>
      <c r="BUU130" s="98"/>
      <c r="BUV130" s="98"/>
      <c r="BUW130" s="98"/>
      <c r="BUX130" s="98"/>
      <c r="BUY130" s="98"/>
      <c r="BUZ130" s="98"/>
      <c r="BVA130" s="98"/>
      <c r="BVB130" s="98"/>
      <c r="BVC130" s="98"/>
      <c r="BVD130" s="98"/>
      <c r="BVE130" s="98"/>
      <c r="BVF130" s="98"/>
      <c r="BVG130" s="98"/>
      <c r="BVH130" s="98"/>
      <c r="BVI130" s="98"/>
      <c r="BVJ130" s="98"/>
      <c r="BVK130" s="98"/>
      <c r="BVL130" s="98"/>
      <c r="BVM130" s="98"/>
      <c r="BVN130" s="98"/>
      <c r="BVO130" s="98"/>
      <c r="BVP130" s="98"/>
      <c r="BVQ130" s="98"/>
      <c r="BVR130" s="98"/>
      <c r="BVS130" s="98"/>
      <c r="BVT130" s="98"/>
      <c r="BVU130" s="98"/>
      <c r="BVV130" s="98"/>
      <c r="BVW130" s="98"/>
      <c r="BVX130" s="98"/>
      <c r="BVY130" s="98"/>
      <c r="BVZ130" s="98"/>
      <c r="BWA130" s="98"/>
      <c r="BWB130" s="98"/>
      <c r="BWC130" s="98"/>
      <c r="BWD130" s="98"/>
      <c r="BWE130" s="98"/>
      <c r="BWF130" s="98"/>
      <c r="BWG130" s="98"/>
      <c r="BWH130" s="98"/>
      <c r="BWI130" s="98"/>
      <c r="BWJ130" s="98"/>
      <c r="BWK130" s="98"/>
      <c r="BWL130" s="98"/>
      <c r="BWM130" s="98"/>
      <c r="BWN130" s="98"/>
      <c r="BWO130" s="98"/>
      <c r="BWP130" s="98"/>
      <c r="BWQ130" s="98"/>
      <c r="BWR130" s="98"/>
      <c r="BWS130" s="98"/>
      <c r="BWT130" s="98"/>
      <c r="BWU130" s="98"/>
      <c r="BWV130" s="98"/>
      <c r="BWW130" s="98"/>
      <c r="BWX130" s="98"/>
      <c r="BWY130" s="98"/>
      <c r="BWZ130" s="98"/>
      <c r="BXA130" s="98"/>
      <c r="BXB130" s="98"/>
      <c r="BXC130" s="98"/>
      <c r="BXD130" s="98"/>
      <c r="BXE130" s="98"/>
      <c r="BXF130" s="98"/>
      <c r="BXG130" s="98"/>
      <c r="BXH130" s="98"/>
      <c r="BXI130" s="98"/>
      <c r="BXJ130" s="98"/>
      <c r="BXK130" s="98"/>
      <c r="BXL130" s="98"/>
      <c r="BXM130" s="98"/>
      <c r="BXN130" s="98"/>
      <c r="BXO130" s="98"/>
      <c r="BXP130" s="98"/>
      <c r="BXQ130" s="98"/>
      <c r="BXR130" s="98"/>
      <c r="BXS130" s="98"/>
      <c r="BXT130" s="98"/>
      <c r="BXU130" s="98"/>
      <c r="BXV130" s="98"/>
      <c r="BXW130" s="98"/>
      <c r="BXX130" s="98"/>
      <c r="BXY130" s="98"/>
      <c r="BXZ130" s="98"/>
      <c r="BYA130" s="98"/>
      <c r="BYB130" s="98"/>
      <c r="BYC130" s="98"/>
      <c r="BYD130" s="98"/>
      <c r="BYE130" s="98"/>
      <c r="BYF130" s="98"/>
      <c r="BYG130" s="98"/>
      <c r="BYH130" s="98"/>
      <c r="BYI130" s="98"/>
      <c r="BYJ130" s="98"/>
      <c r="BYK130" s="98"/>
      <c r="BYL130" s="98"/>
      <c r="BYM130" s="98"/>
      <c r="BYN130" s="98"/>
      <c r="BYO130" s="98"/>
      <c r="BYP130" s="98"/>
      <c r="BYQ130" s="98"/>
      <c r="BYR130" s="98"/>
      <c r="BYS130" s="98"/>
      <c r="BYT130" s="98"/>
      <c r="BYU130" s="98"/>
      <c r="BYV130" s="98"/>
      <c r="BYW130" s="98"/>
      <c r="BYX130" s="98"/>
      <c r="BYY130" s="98"/>
      <c r="BYZ130" s="98"/>
      <c r="BZA130" s="98"/>
      <c r="BZB130" s="98"/>
      <c r="BZC130" s="98"/>
      <c r="BZD130" s="98"/>
      <c r="BZE130" s="98"/>
      <c r="BZF130" s="98"/>
      <c r="BZG130" s="98"/>
      <c r="BZH130" s="98"/>
      <c r="BZI130" s="98"/>
      <c r="BZJ130" s="98"/>
      <c r="BZK130" s="98"/>
      <c r="BZL130" s="98"/>
      <c r="BZM130" s="98"/>
      <c r="BZN130" s="98"/>
      <c r="BZO130" s="98"/>
      <c r="BZP130" s="98"/>
      <c r="BZQ130" s="98"/>
      <c r="BZR130" s="98"/>
      <c r="BZS130" s="98"/>
      <c r="BZT130" s="98"/>
      <c r="BZU130" s="98"/>
      <c r="BZV130" s="98"/>
      <c r="BZW130" s="98"/>
      <c r="BZX130" s="98"/>
      <c r="BZY130" s="98"/>
      <c r="BZZ130" s="98"/>
      <c r="CAA130" s="98"/>
      <c r="CAB130" s="98"/>
      <c r="CAC130" s="98"/>
      <c r="CAD130" s="98"/>
      <c r="CAE130" s="98"/>
      <c r="CAF130" s="98"/>
      <c r="CAG130" s="98"/>
      <c r="CAH130" s="98"/>
      <c r="CAI130" s="98"/>
      <c r="CAJ130" s="98"/>
      <c r="CAK130" s="98"/>
      <c r="CAL130" s="98"/>
      <c r="CAM130" s="98"/>
      <c r="CAN130" s="98"/>
      <c r="CAO130" s="98"/>
      <c r="CAP130" s="98"/>
      <c r="CAQ130" s="98"/>
      <c r="CAR130" s="98"/>
      <c r="CAS130" s="98"/>
      <c r="CAT130" s="98"/>
      <c r="CAU130" s="98"/>
      <c r="CAV130" s="98"/>
      <c r="CAW130" s="98"/>
      <c r="CAX130" s="98"/>
      <c r="CAY130" s="98"/>
      <c r="CAZ130" s="98"/>
      <c r="CBA130" s="98"/>
      <c r="CBB130" s="98"/>
      <c r="CBC130" s="98"/>
      <c r="CBD130" s="98"/>
      <c r="CBE130" s="98"/>
      <c r="CBF130" s="98"/>
      <c r="CBG130" s="98"/>
      <c r="CBH130" s="98"/>
      <c r="CBI130" s="98"/>
      <c r="CBJ130" s="98"/>
      <c r="CBK130" s="98"/>
      <c r="CBL130" s="98"/>
      <c r="CBM130" s="98"/>
      <c r="CBN130" s="98"/>
      <c r="CBO130" s="98"/>
      <c r="CBP130" s="98"/>
      <c r="CBQ130" s="98"/>
      <c r="CBR130" s="98"/>
      <c r="CBS130" s="98"/>
      <c r="CBT130" s="98"/>
      <c r="CBU130" s="98"/>
      <c r="CBV130" s="98"/>
      <c r="CBW130" s="98"/>
      <c r="CBX130" s="98"/>
      <c r="CBY130" s="98"/>
      <c r="CBZ130" s="98"/>
      <c r="CCA130" s="98"/>
      <c r="CCB130" s="98"/>
      <c r="CCC130" s="98"/>
      <c r="CCD130" s="98"/>
      <c r="CCE130" s="98"/>
      <c r="CCF130" s="98"/>
      <c r="CCG130" s="98"/>
      <c r="CCH130" s="98"/>
      <c r="CCI130" s="98"/>
      <c r="CCJ130" s="98"/>
      <c r="CCK130" s="98"/>
      <c r="CCL130" s="98"/>
      <c r="CCM130" s="98"/>
      <c r="CCN130" s="98"/>
      <c r="CCO130" s="98"/>
      <c r="CCP130" s="98"/>
      <c r="CCQ130" s="98"/>
      <c r="CCR130" s="98"/>
      <c r="CCS130" s="98"/>
      <c r="CCT130" s="98"/>
      <c r="CCU130" s="98"/>
      <c r="CCV130" s="98"/>
      <c r="CCW130" s="98"/>
      <c r="CCX130" s="98"/>
      <c r="CCY130" s="98"/>
      <c r="CCZ130" s="98"/>
      <c r="CDA130" s="98"/>
      <c r="CDB130" s="98"/>
      <c r="CDC130" s="98"/>
      <c r="CDD130" s="98"/>
      <c r="CDE130" s="98"/>
      <c r="CDF130" s="98"/>
      <c r="CDG130" s="98"/>
      <c r="CDH130" s="98"/>
      <c r="CDI130" s="98"/>
      <c r="CDJ130" s="98"/>
      <c r="CDK130" s="98"/>
      <c r="CDL130" s="98"/>
      <c r="CDM130" s="98"/>
      <c r="CDN130" s="98"/>
      <c r="CDO130" s="98"/>
      <c r="CDP130" s="98"/>
      <c r="CDQ130" s="98"/>
      <c r="CDR130" s="98"/>
      <c r="CDS130" s="98"/>
      <c r="CDT130" s="98"/>
      <c r="CDU130" s="98"/>
      <c r="CDV130" s="98"/>
      <c r="CDW130" s="98"/>
      <c r="CDX130" s="98"/>
      <c r="CDY130" s="98"/>
      <c r="CDZ130" s="98"/>
      <c r="CEA130" s="98"/>
      <c r="CEB130" s="98"/>
      <c r="CEC130" s="98"/>
      <c r="CED130" s="98"/>
      <c r="CEE130" s="98"/>
      <c r="CEF130" s="98"/>
      <c r="CEG130" s="98"/>
      <c r="CEH130" s="98"/>
      <c r="CEI130" s="98"/>
      <c r="CEJ130" s="98"/>
      <c r="CEK130" s="98"/>
      <c r="CEL130" s="98"/>
      <c r="CEM130" s="98"/>
      <c r="CEN130" s="98"/>
      <c r="CEO130" s="98"/>
      <c r="CEP130" s="98"/>
      <c r="CEQ130" s="98"/>
      <c r="CER130" s="98"/>
      <c r="CES130" s="98"/>
      <c r="CET130" s="98"/>
      <c r="CEU130" s="98"/>
      <c r="CEV130" s="98"/>
      <c r="CEW130" s="98"/>
      <c r="CEX130" s="98"/>
      <c r="CEY130" s="98"/>
      <c r="CEZ130" s="98"/>
      <c r="CFA130" s="98"/>
      <c r="CFB130" s="98"/>
      <c r="CFC130" s="98"/>
      <c r="CFD130" s="98"/>
      <c r="CFE130" s="98"/>
      <c r="CFF130" s="98"/>
      <c r="CFG130" s="98"/>
      <c r="CFH130" s="98"/>
      <c r="CFI130" s="98"/>
      <c r="CFJ130" s="98"/>
      <c r="CFK130" s="98"/>
      <c r="CFL130" s="98"/>
      <c r="CFM130" s="98"/>
      <c r="CFN130" s="98"/>
      <c r="CFO130" s="98"/>
      <c r="CFP130" s="98"/>
      <c r="CFQ130" s="98"/>
      <c r="CFR130" s="98"/>
      <c r="CFS130" s="98"/>
      <c r="CFT130" s="98"/>
      <c r="CFU130" s="98"/>
      <c r="CFV130" s="98"/>
      <c r="CFW130" s="98"/>
      <c r="CFX130" s="98"/>
      <c r="CFY130" s="98"/>
      <c r="CFZ130" s="98"/>
      <c r="CGA130" s="98"/>
      <c r="CGB130" s="98"/>
      <c r="CGC130" s="98"/>
      <c r="CGD130" s="98"/>
      <c r="CGE130" s="98"/>
      <c r="CGF130" s="98"/>
      <c r="CGG130" s="98"/>
      <c r="CGH130" s="98"/>
      <c r="CGI130" s="98"/>
      <c r="CGJ130" s="98"/>
      <c r="CGK130" s="98"/>
      <c r="CGL130" s="98"/>
      <c r="CGM130" s="98"/>
      <c r="CGN130" s="98"/>
      <c r="CGO130" s="98"/>
      <c r="CGP130" s="98"/>
      <c r="CGQ130" s="98"/>
      <c r="CGR130" s="98"/>
      <c r="CGS130" s="98"/>
      <c r="CGT130" s="98"/>
      <c r="CGU130" s="98"/>
      <c r="CGV130" s="98"/>
      <c r="CGW130" s="98"/>
      <c r="CGX130" s="98"/>
      <c r="CGY130" s="98"/>
      <c r="CGZ130" s="98"/>
      <c r="CHA130" s="98"/>
      <c r="CHB130" s="98"/>
      <c r="CHC130" s="98"/>
      <c r="CHD130" s="98"/>
      <c r="CHE130" s="98"/>
      <c r="CHF130" s="98"/>
      <c r="CHG130" s="98"/>
      <c r="CHH130" s="98"/>
      <c r="CHI130" s="98"/>
      <c r="CHJ130" s="98"/>
      <c r="CHK130" s="98"/>
      <c r="CHL130" s="98"/>
      <c r="CHM130" s="98"/>
      <c r="CHN130" s="98"/>
      <c r="CHO130" s="98"/>
      <c r="CHP130" s="98"/>
      <c r="CHQ130" s="98"/>
      <c r="CHR130" s="98"/>
      <c r="CHS130" s="98"/>
      <c r="CHT130" s="98"/>
      <c r="CHU130" s="98"/>
      <c r="CHV130" s="98"/>
      <c r="CHW130" s="98"/>
      <c r="CHX130" s="98"/>
      <c r="CHY130" s="98"/>
      <c r="CHZ130" s="98"/>
      <c r="CIA130" s="98"/>
      <c r="CIB130" s="98"/>
      <c r="CIC130" s="98"/>
      <c r="CID130" s="98"/>
      <c r="CIE130" s="98"/>
      <c r="CIF130" s="98"/>
      <c r="CIG130" s="98"/>
      <c r="CIH130" s="98"/>
      <c r="CII130" s="98"/>
      <c r="CIJ130" s="98"/>
      <c r="CIK130" s="98"/>
      <c r="CIL130" s="98"/>
      <c r="CIM130" s="98"/>
      <c r="CIN130" s="98"/>
      <c r="CIO130" s="98"/>
      <c r="CIP130" s="98"/>
      <c r="CIQ130" s="98"/>
      <c r="CIR130" s="98"/>
      <c r="CIS130" s="98"/>
      <c r="CIT130" s="98"/>
      <c r="CIU130" s="98"/>
      <c r="CIV130" s="98"/>
      <c r="CIW130" s="98"/>
      <c r="CIX130" s="98"/>
      <c r="CIY130" s="98"/>
      <c r="CIZ130" s="98"/>
      <c r="CJA130" s="98"/>
      <c r="CJB130" s="98"/>
      <c r="CJC130" s="98"/>
      <c r="CJD130" s="98"/>
      <c r="CJE130" s="98"/>
      <c r="CJF130" s="98"/>
      <c r="CJG130" s="98"/>
      <c r="CJH130" s="98"/>
      <c r="CJI130" s="98"/>
      <c r="CJJ130" s="98"/>
      <c r="CJK130" s="98"/>
      <c r="CJL130" s="98"/>
      <c r="CJM130" s="98"/>
      <c r="CJN130" s="98"/>
      <c r="CJO130" s="98"/>
      <c r="CJP130" s="98"/>
      <c r="CJQ130" s="98"/>
      <c r="CJR130" s="98"/>
      <c r="CJS130" s="98"/>
      <c r="CJT130" s="98"/>
      <c r="CJU130" s="98"/>
      <c r="CJV130" s="98"/>
      <c r="CJW130" s="98"/>
      <c r="CJX130" s="98"/>
      <c r="CJY130" s="98"/>
      <c r="CJZ130" s="98"/>
      <c r="CKA130" s="98"/>
      <c r="CKB130" s="98"/>
      <c r="CKC130" s="98"/>
      <c r="CKD130" s="98"/>
      <c r="CKE130" s="98"/>
      <c r="CKF130" s="98"/>
      <c r="CKG130" s="98"/>
      <c r="CKH130" s="98"/>
      <c r="CKI130" s="98"/>
      <c r="CKJ130" s="98"/>
      <c r="CKK130" s="98"/>
      <c r="CKL130" s="98"/>
      <c r="CKM130" s="98"/>
      <c r="CKN130" s="98"/>
      <c r="CKO130" s="98"/>
      <c r="CKP130" s="98"/>
      <c r="CKQ130" s="98"/>
      <c r="CKR130" s="98"/>
      <c r="CKS130" s="98"/>
      <c r="CKT130" s="98"/>
      <c r="CKU130" s="98"/>
      <c r="CKV130" s="98"/>
      <c r="CKW130" s="98"/>
      <c r="CKX130" s="98"/>
      <c r="CKY130" s="98"/>
      <c r="CKZ130" s="98"/>
      <c r="CLA130" s="98"/>
      <c r="CLB130" s="98"/>
      <c r="CLC130" s="98"/>
      <c r="CLD130" s="98"/>
      <c r="CLE130" s="98"/>
      <c r="CLF130" s="98"/>
      <c r="CLG130" s="98"/>
      <c r="CLH130" s="98"/>
      <c r="CLI130" s="98"/>
      <c r="CLJ130" s="98"/>
      <c r="CLK130" s="98"/>
      <c r="CLL130" s="98"/>
      <c r="CLM130" s="98"/>
      <c r="CLN130" s="98"/>
      <c r="CLO130" s="98"/>
      <c r="CLP130" s="98"/>
      <c r="CLQ130" s="98"/>
      <c r="CLR130" s="98"/>
      <c r="CLS130" s="98"/>
      <c r="CLT130" s="98"/>
      <c r="CLU130" s="98"/>
      <c r="CLV130" s="98"/>
      <c r="CLW130" s="98"/>
      <c r="CLX130" s="98"/>
      <c r="CLY130" s="98"/>
      <c r="CLZ130" s="98"/>
      <c r="CMA130" s="98"/>
      <c r="CMB130" s="98"/>
      <c r="CMC130" s="98"/>
      <c r="CMD130" s="98"/>
      <c r="CME130" s="98"/>
      <c r="CMF130" s="98"/>
      <c r="CMG130" s="98"/>
      <c r="CMH130" s="98"/>
      <c r="CMI130" s="98"/>
      <c r="CMJ130" s="98"/>
      <c r="CMK130" s="98"/>
      <c r="CML130" s="98"/>
      <c r="CMM130" s="98"/>
      <c r="CMN130" s="98"/>
      <c r="CMO130" s="98"/>
      <c r="CMP130" s="98"/>
      <c r="CMQ130" s="98"/>
      <c r="CMR130" s="98"/>
      <c r="CMS130" s="98"/>
      <c r="CMT130" s="98"/>
      <c r="CMU130" s="98"/>
      <c r="CMV130" s="98"/>
      <c r="CMW130" s="98"/>
      <c r="CMX130" s="98"/>
      <c r="CMY130" s="98"/>
      <c r="CMZ130" s="98"/>
      <c r="CNA130" s="98"/>
      <c r="CNB130" s="98"/>
      <c r="CNC130" s="98"/>
      <c r="CND130" s="98"/>
      <c r="CNE130" s="98"/>
      <c r="CNF130" s="98"/>
      <c r="CNG130" s="98"/>
      <c r="CNH130" s="98"/>
      <c r="CNI130" s="98"/>
      <c r="CNJ130" s="98"/>
      <c r="CNK130" s="98"/>
      <c r="CNL130" s="98"/>
      <c r="CNM130" s="98"/>
      <c r="CNN130" s="98"/>
      <c r="CNO130" s="98"/>
      <c r="CNP130" s="98"/>
      <c r="CNQ130" s="98"/>
      <c r="CNR130" s="98"/>
      <c r="CNS130" s="98"/>
      <c r="CNT130" s="98"/>
      <c r="CNU130" s="98"/>
      <c r="CNV130" s="98"/>
      <c r="CNW130" s="98"/>
      <c r="CNX130" s="98"/>
      <c r="CNY130" s="98"/>
      <c r="CNZ130" s="98"/>
      <c r="COA130" s="98"/>
      <c r="COB130" s="98"/>
      <c r="COC130" s="98"/>
      <c r="COD130" s="98"/>
      <c r="COE130" s="98"/>
      <c r="COF130" s="98"/>
      <c r="COG130" s="98"/>
      <c r="COH130" s="98"/>
      <c r="COI130" s="98"/>
      <c r="COJ130" s="98"/>
      <c r="COK130" s="98"/>
      <c r="COL130" s="98"/>
      <c r="COM130" s="98"/>
      <c r="CON130" s="98"/>
      <c r="COO130" s="98"/>
      <c r="COP130" s="98"/>
      <c r="COQ130" s="98"/>
      <c r="COR130" s="98"/>
      <c r="COS130" s="98"/>
      <c r="COT130" s="98"/>
      <c r="COU130" s="98"/>
      <c r="COV130" s="98"/>
      <c r="COW130" s="98"/>
      <c r="COX130" s="98"/>
      <c r="COY130" s="98"/>
      <c r="COZ130" s="98"/>
      <c r="CPA130" s="98"/>
      <c r="CPB130" s="98"/>
      <c r="CPC130" s="98"/>
      <c r="CPD130" s="98"/>
      <c r="CPE130" s="98"/>
      <c r="CPF130" s="98"/>
      <c r="CPG130" s="98"/>
      <c r="CPH130" s="98"/>
      <c r="CPI130" s="98"/>
      <c r="CPJ130" s="98"/>
      <c r="CPK130" s="98"/>
      <c r="CPL130" s="98"/>
      <c r="CPM130" s="98"/>
      <c r="CPN130" s="98"/>
      <c r="CPO130" s="98"/>
      <c r="CPP130" s="98"/>
      <c r="CPQ130" s="98"/>
      <c r="CPR130" s="98"/>
      <c r="CPS130" s="98"/>
      <c r="CPT130" s="98"/>
      <c r="CPU130" s="98"/>
      <c r="CPV130" s="98"/>
      <c r="CPW130" s="98"/>
      <c r="CPX130" s="98"/>
      <c r="CPY130" s="98"/>
      <c r="CPZ130" s="98"/>
      <c r="CQA130" s="98"/>
      <c r="CQB130" s="98"/>
      <c r="CQC130" s="98"/>
      <c r="CQD130" s="98"/>
      <c r="CQE130" s="98"/>
      <c r="CQF130" s="98"/>
      <c r="CQG130" s="98"/>
      <c r="CQH130" s="98"/>
      <c r="CQI130" s="98"/>
      <c r="CQJ130" s="98"/>
      <c r="CQK130" s="98"/>
      <c r="CQL130" s="98"/>
      <c r="CQM130" s="98"/>
      <c r="CQN130" s="98"/>
      <c r="CQO130" s="98"/>
      <c r="CQP130" s="98"/>
      <c r="CQQ130" s="98"/>
      <c r="CQR130" s="98"/>
      <c r="CQS130" s="98"/>
      <c r="CQT130" s="98"/>
      <c r="CQU130" s="98"/>
      <c r="CQV130" s="98"/>
      <c r="CQW130" s="98"/>
      <c r="CQX130" s="98"/>
      <c r="CQY130" s="98"/>
      <c r="CQZ130" s="98"/>
      <c r="CRA130" s="98"/>
      <c r="CRB130" s="98"/>
      <c r="CRC130" s="98"/>
      <c r="CRD130" s="98"/>
      <c r="CRE130" s="98"/>
      <c r="CRF130" s="98"/>
      <c r="CRG130" s="98"/>
      <c r="CRH130" s="98"/>
      <c r="CRI130" s="98"/>
      <c r="CRJ130" s="98"/>
      <c r="CRK130" s="98"/>
      <c r="CRL130" s="98"/>
      <c r="CRM130" s="98"/>
      <c r="CRN130" s="98"/>
      <c r="CRO130" s="98"/>
      <c r="CRP130" s="98"/>
      <c r="CRQ130" s="98"/>
      <c r="CRR130" s="98"/>
      <c r="CRS130" s="98"/>
      <c r="CRT130" s="98"/>
      <c r="CRU130" s="98"/>
      <c r="CRV130" s="98"/>
      <c r="CRW130" s="98"/>
      <c r="CRX130" s="98"/>
      <c r="CRY130" s="98"/>
      <c r="CRZ130" s="98"/>
      <c r="CSA130" s="98"/>
      <c r="CSB130" s="98"/>
      <c r="CSC130" s="98"/>
      <c r="CSD130" s="98"/>
      <c r="CSE130" s="98"/>
      <c r="CSF130" s="98"/>
      <c r="CSG130" s="98"/>
      <c r="CSH130" s="98"/>
      <c r="CSI130" s="98"/>
      <c r="CSJ130" s="98"/>
      <c r="CSK130" s="98"/>
      <c r="CSL130" s="98"/>
      <c r="CSM130" s="98"/>
      <c r="CSN130" s="98"/>
      <c r="CSO130" s="98"/>
      <c r="CSP130" s="98"/>
      <c r="CSQ130" s="98"/>
      <c r="CSR130" s="98"/>
      <c r="CSS130" s="98"/>
      <c r="CST130" s="98"/>
      <c r="CSU130" s="98"/>
      <c r="CSV130" s="98"/>
      <c r="CSW130" s="98"/>
      <c r="CSX130" s="98"/>
      <c r="CSY130" s="98"/>
      <c r="CSZ130" s="98"/>
      <c r="CTA130" s="98"/>
      <c r="CTB130" s="98"/>
      <c r="CTC130" s="98"/>
      <c r="CTD130" s="98"/>
      <c r="CTE130" s="98"/>
      <c r="CTF130" s="98"/>
      <c r="CTG130" s="98"/>
      <c r="CTH130" s="98"/>
      <c r="CTI130" s="98"/>
      <c r="CTJ130" s="98"/>
      <c r="CTK130" s="98"/>
      <c r="CTL130" s="98"/>
      <c r="CTM130" s="98"/>
      <c r="CTN130" s="98"/>
      <c r="CTO130" s="98"/>
      <c r="CTP130" s="98"/>
      <c r="CTQ130" s="98"/>
      <c r="CTR130" s="98"/>
      <c r="CTS130" s="98"/>
      <c r="CTT130" s="98"/>
      <c r="CTU130" s="98"/>
      <c r="CTV130" s="98"/>
      <c r="CTW130" s="98"/>
      <c r="CTX130" s="98"/>
      <c r="CTY130" s="98"/>
      <c r="CTZ130" s="98"/>
      <c r="CUA130" s="98"/>
      <c r="CUB130" s="98"/>
      <c r="CUC130" s="98"/>
      <c r="CUD130" s="98"/>
      <c r="CUE130" s="98"/>
      <c r="CUF130" s="98"/>
      <c r="CUG130" s="98"/>
      <c r="CUH130" s="98"/>
      <c r="CUI130" s="98"/>
      <c r="CUJ130" s="98"/>
      <c r="CUK130" s="98"/>
      <c r="CUL130" s="98"/>
      <c r="CUM130" s="98"/>
      <c r="CUN130" s="98"/>
      <c r="CUO130" s="98"/>
      <c r="CUP130" s="98"/>
      <c r="CUQ130" s="98"/>
      <c r="CUR130" s="98"/>
      <c r="CUS130" s="98"/>
      <c r="CUT130" s="98"/>
      <c r="CUU130" s="98"/>
      <c r="CUV130" s="98"/>
      <c r="CUW130" s="98"/>
      <c r="CUX130" s="98"/>
      <c r="CUY130" s="98"/>
      <c r="CUZ130" s="98"/>
      <c r="CVA130" s="98"/>
      <c r="CVB130" s="98"/>
      <c r="CVC130" s="98"/>
      <c r="CVD130" s="98"/>
      <c r="CVE130" s="98"/>
      <c r="CVF130" s="98"/>
      <c r="CVG130" s="98"/>
      <c r="CVH130" s="98"/>
      <c r="CVI130" s="98"/>
      <c r="CVJ130" s="98"/>
      <c r="CVK130" s="98"/>
      <c r="CVL130" s="98"/>
      <c r="CVM130" s="98"/>
      <c r="CVN130" s="98"/>
      <c r="CVO130" s="98"/>
      <c r="CVP130" s="98"/>
      <c r="CVQ130" s="98"/>
      <c r="CVR130" s="98"/>
      <c r="CVS130" s="98"/>
      <c r="CVT130" s="98"/>
      <c r="CVU130" s="98"/>
      <c r="CVV130" s="98"/>
      <c r="CVW130" s="98"/>
      <c r="CVX130" s="98"/>
      <c r="CVY130" s="98"/>
      <c r="CVZ130" s="98"/>
      <c r="CWA130" s="98"/>
      <c r="CWB130" s="98"/>
      <c r="CWC130" s="98"/>
      <c r="CWD130" s="98"/>
      <c r="CWE130" s="98"/>
      <c r="CWF130" s="98"/>
      <c r="CWG130" s="98"/>
      <c r="CWH130" s="98"/>
      <c r="CWI130" s="98"/>
      <c r="CWJ130" s="98"/>
      <c r="CWK130" s="98"/>
      <c r="CWL130" s="98"/>
      <c r="CWM130" s="98"/>
      <c r="CWN130" s="98"/>
      <c r="CWO130" s="98"/>
      <c r="CWP130" s="98"/>
      <c r="CWQ130" s="98"/>
      <c r="CWR130" s="98"/>
      <c r="CWS130" s="98"/>
      <c r="CWT130" s="98"/>
      <c r="CWU130" s="98"/>
      <c r="CWV130" s="98"/>
      <c r="CWW130" s="98"/>
      <c r="CWX130" s="98"/>
      <c r="CWY130" s="98"/>
      <c r="CWZ130" s="98"/>
      <c r="CXA130" s="98"/>
      <c r="CXB130" s="98"/>
      <c r="CXC130" s="98"/>
      <c r="CXD130" s="98"/>
      <c r="CXE130" s="98"/>
      <c r="CXF130" s="98"/>
      <c r="CXG130" s="98"/>
      <c r="CXH130" s="98"/>
      <c r="CXI130" s="98"/>
      <c r="CXJ130" s="98"/>
      <c r="CXK130" s="98"/>
      <c r="CXL130" s="98"/>
      <c r="CXM130" s="98"/>
      <c r="CXN130" s="98"/>
      <c r="CXO130" s="98"/>
      <c r="CXP130" s="98"/>
      <c r="CXQ130" s="98"/>
      <c r="CXR130" s="98"/>
      <c r="CXS130" s="98"/>
      <c r="CXT130" s="98"/>
      <c r="CXU130" s="98"/>
      <c r="CXV130" s="98"/>
      <c r="CXW130" s="98"/>
      <c r="CXX130" s="98"/>
      <c r="CXY130" s="98"/>
      <c r="CXZ130" s="98"/>
      <c r="CYA130" s="98"/>
      <c r="CYB130" s="98"/>
      <c r="CYC130" s="98"/>
      <c r="CYD130" s="98"/>
      <c r="CYE130" s="98"/>
      <c r="CYF130" s="98"/>
      <c r="CYG130" s="98"/>
      <c r="CYH130" s="98"/>
      <c r="CYI130" s="98"/>
      <c r="CYJ130" s="98"/>
      <c r="CYK130" s="98"/>
      <c r="CYL130" s="98"/>
      <c r="CYM130" s="98"/>
      <c r="CYN130" s="98"/>
      <c r="CYO130" s="98"/>
      <c r="CYP130" s="98"/>
      <c r="CYQ130" s="98"/>
      <c r="CYR130" s="98"/>
      <c r="CYS130" s="98"/>
      <c r="CYT130" s="98"/>
      <c r="CYU130" s="98"/>
      <c r="CYV130" s="98"/>
      <c r="CYW130" s="98"/>
      <c r="CYX130" s="98"/>
      <c r="CYY130" s="98"/>
      <c r="CYZ130" s="98"/>
      <c r="CZA130" s="98"/>
      <c r="CZB130" s="98"/>
      <c r="CZC130" s="98"/>
      <c r="CZD130" s="98"/>
      <c r="CZE130" s="98"/>
      <c r="CZF130" s="98"/>
      <c r="CZG130" s="98"/>
      <c r="CZH130" s="98"/>
      <c r="CZI130" s="98"/>
      <c r="CZJ130" s="98"/>
      <c r="CZK130" s="98"/>
      <c r="CZL130" s="98"/>
      <c r="CZM130" s="98"/>
      <c r="CZN130" s="98"/>
      <c r="CZO130" s="98"/>
      <c r="CZP130" s="98"/>
      <c r="CZQ130" s="98"/>
      <c r="CZR130" s="98"/>
      <c r="CZS130" s="98"/>
      <c r="CZT130" s="98"/>
      <c r="CZU130" s="98"/>
      <c r="CZV130" s="98"/>
      <c r="CZW130" s="98"/>
      <c r="CZX130" s="98"/>
      <c r="CZY130" s="98"/>
      <c r="CZZ130" s="98"/>
      <c r="DAA130" s="98"/>
      <c r="DAB130" s="98"/>
      <c r="DAC130" s="98"/>
      <c r="DAD130" s="98"/>
      <c r="DAE130" s="98"/>
      <c r="DAF130" s="98"/>
      <c r="DAG130" s="98"/>
      <c r="DAH130" s="98"/>
      <c r="DAI130" s="98"/>
      <c r="DAJ130" s="98"/>
      <c r="DAK130" s="98"/>
      <c r="DAL130" s="98"/>
      <c r="DAM130" s="98"/>
      <c r="DAN130" s="98"/>
      <c r="DAO130" s="98"/>
      <c r="DAP130" s="98"/>
      <c r="DAQ130" s="98"/>
      <c r="DAR130" s="98"/>
      <c r="DAS130" s="98"/>
      <c r="DAT130" s="98"/>
      <c r="DAU130" s="98"/>
      <c r="DAV130" s="98"/>
      <c r="DAW130" s="98"/>
      <c r="DAX130" s="98"/>
      <c r="DAY130" s="98"/>
      <c r="DAZ130" s="98"/>
      <c r="DBA130" s="98"/>
      <c r="DBB130" s="98"/>
      <c r="DBC130" s="98"/>
      <c r="DBD130" s="98"/>
      <c r="DBE130" s="98"/>
      <c r="DBF130" s="98"/>
      <c r="DBG130" s="98"/>
      <c r="DBH130" s="98"/>
      <c r="DBI130" s="98"/>
      <c r="DBJ130" s="98"/>
      <c r="DBK130" s="98"/>
      <c r="DBL130" s="98"/>
      <c r="DBM130" s="98"/>
      <c r="DBN130" s="98"/>
      <c r="DBO130" s="98"/>
      <c r="DBP130" s="98"/>
      <c r="DBQ130" s="98"/>
      <c r="DBR130" s="98"/>
      <c r="DBS130" s="98"/>
      <c r="DBT130" s="98"/>
      <c r="DBU130" s="98"/>
      <c r="DBV130" s="98"/>
      <c r="DBW130" s="98"/>
      <c r="DBX130" s="98"/>
      <c r="DBY130" s="98"/>
      <c r="DBZ130" s="98"/>
      <c r="DCA130" s="98"/>
      <c r="DCB130" s="98"/>
      <c r="DCC130" s="98"/>
      <c r="DCD130" s="98"/>
      <c r="DCE130" s="98"/>
      <c r="DCF130" s="98"/>
      <c r="DCG130" s="98"/>
      <c r="DCH130" s="98"/>
      <c r="DCI130" s="98"/>
      <c r="DCJ130" s="98"/>
      <c r="DCK130" s="98"/>
      <c r="DCL130" s="98"/>
      <c r="DCM130" s="98"/>
      <c r="DCN130" s="98"/>
      <c r="DCO130" s="98"/>
      <c r="DCP130" s="98"/>
      <c r="DCQ130" s="98"/>
      <c r="DCR130" s="98"/>
      <c r="DCS130" s="98"/>
      <c r="DCT130" s="98"/>
      <c r="DCU130" s="98"/>
      <c r="DCV130" s="98"/>
      <c r="DCW130" s="98"/>
      <c r="DCX130" s="98"/>
      <c r="DCY130" s="98"/>
      <c r="DCZ130" s="98"/>
      <c r="DDA130" s="98"/>
      <c r="DDB130" s="98"/>
      <c r="DDC130" s="98"/>
      <c r="DDD130" s="98"/>
      <c r="DDE130" s="98"/>
      <c r="DDF130" s="98"/>
      <c r="DDG130" s="98"/>
      <c r="DDH130" s="98"/>
      <c r="DDI130" s="98"/>
      <c r="DDJ130" s="98"/>
      <c r="DDK130" s="98"/>
      <c r="DDL130" s="98"/>
      <c r="DDM130" s="98"/>
      <c r="DDN130" s="98"/>
      <c r="DDO130" s="98"/>
      <c r="DDP130" s="98"/>
      <c r="DDQ130" s="98"/>
      <c r="DDR130" s="98"/>
      <c r="DDS130" s="98"/>
      <c r="DDT130" s="98"/>
      <c r="DDU130" s="98"/>
      <c r="DDV130" s="98"/>
      <c r="DDW130" s="98"/>
      <c r="DDX130" s="98"/>
      <c r="DDY130" s="98"/>
      <c r="DDZ130" s="98"/>
      <c r="DEA130" s="98"/>
      <c r="DEB130" s="98"/>
      <c r="DEC130" s="98"/>
      <c r="DED130" s="98"/>
      <c r="DEE130" s="98"/>
      <c r="DEF130" s="98"/>
      <c r="DEG130" s="98"/>
      <c r="DEH130" s="98"/>
      <c r="DEI130" s="98"/>
      <c r="DEJ130" s="98"/>
      <c r="DEK130" s="98"/>
      <c r="DEL130" s="98"/>
      <c r="DEM130" s="98"/>
      <c r="DEN130" s="98"/>
      <c r="DEO130" s="98"/>
      <c r="DEP130" s="98"/>
      <c r="DEQ130" s="98"/>
      <c r="DER130" s="98"/>
      <c r="DES130" s="98"/>
      <c r="DET130" s="98"/>
      <c r="DEU130" s="98"/>
      <c r="DEV130" s="98"/>
      <c r="DEW130" s="98"/>
      <c r="DEX130" s="98"/>
      <c r="DEY130" s="98"/>
      <c r="DEZ130" s="98"/>
      <c r="DFA130" s="98"/>
      <c r="DFB130" s="98"/>
      <c r="DFC130" s="98"/>
      <c r="DFD130" s="98"/>
      <c r="DFE130" s="98"/>
      <c r="DFF130" s="98"/>
      <c r="DFG130" s="98"/>
      <c r="DFH130" s="98"/>
      <c r="DFI130" s="98"/>
      <c r="DFJ130" s="98"/>
      <c r="DFK130" s="98"/>
      <c r="DFL130" s="98"/>
      <c r="DFM130" s="98"/>
      <c r="DFN130" s="98"/>
      <c r="DFO130" s="98"/>
      <c r="DFP130" s="98"/>
      <c r="DFQ130" s="98"/>
      <c r="DFR130" s="98"/>
      <c r="DFS130" s="98"/>
      <c r="DFT130" s="98"/>
      <c r="DFU130" s="98"/>
      <c r="DFV130" s="98"/>
      <c r="DFW130" s="98"/>
      <c r="DFX130" s="98"/>
      <c r="DFY130" s="98"/>
      <c r="DFZ130" s="98"/>
      <c r="DGA130" s="98"/>
      <c r="DGB130" s="98"/>
      <c r="DGC130" s="98"/>
      <c r="DGD130" s="98"/>
      <c r="DGE130" s="98"/>
      <c r="DGF130" s="98"/>
      <c r="DGG130" s="98"/>
      <c r="DGH130" s="98"/>
      <c r="DGI130" s="98"/>
      <c r="DGJ130" s="98"/>
      <c r="DGK130" s="98"/>
      <c r="DGL130" s="98"/>
      <c r="DGM130" s="98"/>
      <c r="DGN130" s="98"/>
      <c r="DGO130" s="98"/>
      <c r="DGP130" s="98"/>
      <c r="DGQ130" s="98"/>
      <c r="DGR130" s="98"/>
      <c r="DGS130" s="98"/>
      <c r="DGT130" s="98"/>
      <c r="DGU130" s="98"/>
      <c r="DGV130" s="98"/>
      <c r="DGW130" s="98"/>
      <c r="DGX130" s="98"/>
      <c r="DGY130" s="98"/>
      <c r="DGZ130" s="98"/>
      <c r="DHA130" s="98"/>
      <c r="DHB130" s="98"/>
      <c r="DHC130" s="98"/>
      <c r="DHD130" s="98"/>
      <c r="DHE130" s="98"/>
      <c r="DHF130" s="98"/>
      <c r="DHG130" s="98"/>
      <c r="DHH130" s="98"/>
      <c r="DHI130" s="98"/>
      <c r="DHJ130" s="98"/>
      <c r="DHK130" s="98"/>
      <c r="DHL130" s="98"/>
      <c r="DHM130" s="98"/>
      <c r="DHN130" s="98"/>
      <c r="DHO130" s="98"/>
      <c r="DHP130" s="98"/>
      <c r="DHQ130" s="98"/>
      <c r="DHR130" s="98"/>
      <c r="DHS130" s="98"/>
      <c r="DHT130" s="98"/>
      <c r="DHU130" s="98"/>
      <c r="DHV130" s="98"/>
      <c r="DHW130" s="98"/>
      <c r="DHX130" s="98"/>
      <c r="DHY130" s="98"/>
      <c r="DHZ130" s="98"/>
      <c r="DIA130" s="98"/>
      <c r="DIB130" s="98"/>
      <c r="DIC130" s="98"/>
      <c r="DID130" s="98"/>
      <c r="DIE130" s="98"/>
      <c r="DIF130" s="98"/>
      <c r="DIG130" s="98"/>
      <c r="DIH130" s="98"/>
      <c r="DII130" s="98"/>
      <c r="DIJ130" s="98"/>
      <c r="DIK130" s="98"/>
      <c r="DIL130" s="98"/>
      <c r="DIM130" s="98"/>
      <c r="DIN130" s="98"/>
      <c r="DIO130" s="98"/>
      <c r="DIP130" s="98"/>
      <c r="DIQ130" s="98"/>
      <c r="DIR130" s="98"/>
      <c r="DIS130" s="98"/>
      <c r="DIT130" s="98"/>
      <c r="DIU130" s="98"/>
      <c r="DIV130" s="98"/>
      <c r="DIW130" s="98"/>
      <c r="DIX130" s="98"/>
      <c r="DIY130" s="98"/>
      <c r="DIZ130" s="98"/>
      <c r="DJA130" s="98"/>
      <c r="DJB130" s="98"/>
      <c r="DJC130" s="98"/>
      <c r="DJD130" s="98"/>
      <c r="DJE130" s="98"/>
      <c r="DJF130" s="98"/>
      <c r="DJG130" s="98"/>
      <c r="DJH130" s="98"/>
      <c r="DJI130" s="98"/>
      <c r="DJJ130" s="98"/>
      <c r="DJK130" s="98"/>
      <c r="DJL130" s="98"/>
      <c r="DJM130" s="98"/>
      <c r="DJN130" s="98"/>
      <c r="DJO130" s="98"/>
      <c r="DJP130" s="98"/>
      <c r="DJQ130" s="98"/>
      <c r="DJR130" s="98"/>
      <c r="DJS130" s="98"/>
      <c r="DJT130" s="98"/>
      <c r="DJU130" s="98"/>
      <c r="DJV130" s="98"/>
      <c r="DJW130" s="98"/>
      <c r="DJX130" s="98"/>
      <c r="DJY130" s="98"/>
      <c r="DJZ130" s="98"/>
      <c r="DKA130" s="98"/>
      <c r="DKB130" s="98"/>
      <c r="DKC130" s="98"/>
      <c r="DKD130" s="98"/>
      <c r="DKE130" s="98"/>
      <c r="DKF130" s="98"/>
      <c r="DKG130" s="98"/>
      <c r="DKH130" s="98"/>
      <c r="DKI130" s="98"/>
      <c r="DKJ130" s="98"/>
      <c r="DKK130" s="98"/>
      <c r="DKL130" s="98"/>
      <c r="DKM130" s="98"/>
      <c r="DKN130" s="98"/>
      <c r="DKO130" s="98"/>
      <c r="DKP130" s="98"/>
      <c r="DKQ130" s="98"/>
      <c r="DKR130" s="98"/>
      <c r="DKS130" s="98"/>
      <c r="DKT130" s="98"/>
      <c r="DKU130" s="98"/>
      <c r="DKV130" s="98"/>
      <c r="DKW130" s="98"/>
      <c r="DKX130" s="98"/>
      <c r="DKY130" s="98"/>
      <c r="DKZ130" s="98"/>
      <c r="DLA130" s="98"/>
      <c r="DLB130" s="98"/>
      <c r="DLC130" s="98"/>
      <c r="DLD130" s="98"/>
      <c r="DLE130" s="98"/>
      <c r="DLF130" s="98"/>
      <c r="DLG130" s="98"/>
      <c r="DLH130" s="98"/>
      <c r="DLI130" s="98"/>
      <c r="DLJ130" s="98"/>
      <c r="DLK130" s="98"/>
      <c r="DLL130" s="98"/>
      <c r="DLM130" s="98"/>
      <c r="DLN130" s="98"/>
      <c r="DLO130" s="98"/>
      <c r="DLP130" s="98"/>
      <c r="DLQ130" s="98"/>
      <c r="DLR130" s="98"/>
      <c r="DLS130" s="98"/>
      <c r="DLT130" s="98"/>
      <c r="DLU130" s="98"/>
      <c r="DLV130" s="98"/>
      <c r="DLW130" s="98"/>
      <c r="DLX130" s="98"/>
      <c r="DLY130" s="98"/>
      <c r="DLZ130" s="98"/>
      <c r="DMA130" s="98"/>
      <c r="DMB130" s="98"/>
      <c r="DMC130" s="98"/>
      <c r="DMD130" s="98"/>
      <c r="DME130" s="98"/>
      <c r="DMF130" s="98"/>
      <c r="DMG130" s="98"/>
      <c r="DMH130" s="98"/>
      <c r="DMI130" s="98"/>
      <c r="DMJ130" s="98"/>
      <c r="DMK130" s="98"/>
      <c r="DML130" s="98"/>
      <c r="DMM130" s="98"/>
      <c r="DMN130" s="98"/>
      <c r="DMO130" s="98"/>
      <c r="DMP130" s="98"/>
      <c r="DMQ130" s="98"/>
      <c r="DMR130" s="98"/>
      <c r="DMS130" s="98"/>
      <c r="DMT130" s="98"/>
      <c r="DMU130" s="98"/>
      <c r="DMV130" s="98"/>
      <c r="DMW130" s="98"/>
      <c r="DMX130" s="98"/>
      <c r="DMY130" s="98"/>
      <c r="DMZ130" s="98"/>
      <c r="DNA130" s="98"/>
      <c r="DNB130" s="98"/>
      <c r="DNC130" s="98"/>
      <c r="DND130" s="98"/>
      <c r="DNE130" s="98"/>
      <c r="DNF130" s="98"/>
      <c r="DNG130" s="98"/>
      <c r="DNH130" s="98"/>
      <c r="DNI130" s="98"/>
      <c r="DNJ130" s="98"/>
      <c r="DNK130" s="98"/>
      <c r="DNL130" s="98"/>
      <c r="DNM130" s="98"/>
      <c r="DNN130" s="98"/>
      <c r="DNO130" s="98"/>
      <c r="DNP130" s="98"/>
      <c r="DNQ130" s="98"/>
      <c r="DNR130" s="98"/>
      <c r="DNS130" s="98"/>
      <c r="DNT130" s="98"/>
      <c r="DNU130" s="98"/>
      <c r="DNV130" s="98"/>
      <c r="DNW130" s="98"/>
      <c r="DNX130" s="98"/>
      <c r="DNY130" s="98"/>
      <c r="DNZ130" s="98"/>
      <c r="DOA130" s="98"/>
      <c r="DOB130" s="98"/>
      <c r="DOC130" s="98"/>
      <c r="DOD130" s="98"/>
      <c r="DOE130" s="98"/>
      <c r="DOF130" s="98"/>
      <c r="DOG130" s="98"/>
      <c r="DOH130" s="98"/>
      <c r="DOI130" s="98"/>
      <c r="DOJ130" s="98"/>
      <c r="DOK130" s="98"/>
      <c r="DOL130" s="98"/>
      <c r="DOM130" s="98"/>
      <c r="DON130" s="98"/>
      <c r="DOO130" s="98"/>
      <c r="DOP130" s="98"/>
      <c r="DOQ130" s="98"/>
      <c r="DOR130" s="98"/>
      <c r="DOS130" s="98"/>
      <c r="DOT130" s="98"/>
      <c r="DOU130" s="98"/>
      <c r="DOV130" s="98"/>
      <c r="DOW130" s="98"/>
      <c r="DOX130" s="98"/>
      <c r="DOY130" s="98"/>
      <c r="DOZ130" s="98"/>
      <c r="DPA130" s="98"/>
      <c r="DPB130" s="98"/>
      <c r="DPC130" s="98"/>
      <c r="DPD130" s="98"/>
      <c r="DPE130" s="98"/>
      <c r="DPF130" s="98"/>
      <c r="DPG130" s="98"/>
      <c r="DPH130" s="98"/>
      <c r="DPI130" s="98"/>
      <c r="DPJ130" s="98"/>
      <c r="DPK130" s="98"/>
      <c r="DPL130" s="98"/>
      <c r="DPM130" s="98"/>
      <c r="DPN130" s="98"/>
      <c r="DPO130" s="98"/>
      <c r="DPP130" s="98"/>
      <c r="DPQ130" s="98"/>
      <c r="DPR130" s="98"/>
      <c r="DPS130" s="98"/>
      <c r="DPT130" s="98"/>
      <c r="DPU130" s="98"/>
      <c r="DPV130" s="98"/>
      <c r="DPW130" s="98"/>
      <c r="DPX130" s="98"/>
      <c r="DPY130" s="98"/>
      <c r="DPZ130" s="98"/>
      <c r="DQA130" s="98"/>
      <c r="DQB130" s="98"/>
      <c r="DQC130" s="98"/>
      <c r="DQD130" s="98"/>
      <c r="DQE130" s="98"/>
      <c r="DQF130" s="98"/>
      <c r="DQG130" s="98"/>
      <c r="DQH130" s="98"/>
      <c r="DQI130" s="98"/>
      <c r="DQJ130" s="98"/>
      <c r="DQK130" s="98"/>
      <c r="DQL130" s="98"/>
      <c r="DQM130" s="98"/>
      <c r="DQN130" s="98"/>
      <c r="DQO130" s="98"/>
      <c r="DQP130" s="98"/>
      <c r="DQQ130" s="98"/>
      <c r="DQR130" s="98"/>
      <c r="DQS130" s="98"/>
      <c r="DQT130" s="98"/>
      <c r="DQU130" s="98"/>
      <c r="DQV130" s="98"/>
      <c r="DQW130" s="98"/>
      <c r="DQX130" s="98"/>
      <c r="DQY130" s="98"/>
      <c r="DQZ130" s="98"/>
      <c r="DRA130" s="98"/>
      <c r="DRB130" s="98"/>
      <c r="DRC130" s="98"/>
      <c r="DRD130" s="98"/>
      <c r="DRE130" s="98"/>
      <c r="DRF130" s="98"/>
      <c r="DRG130" s="98"/>
      <c r="DRH130" s="98"/>
      <c r="DRI130" s="98"/>
      <c r="DRJ130" s="98"/>
      <c r="DRK130" s="98"/>
      <c r="DRL130" s="98"/>
      <c r="DRM130" s="98"/>
      <c r="DRN130" s="98"/>
      <c r="DRO130" s="98"/>
      <c r="DRP130" s="98"/>
      <c r="DRQ130" s="98"/>
      <c r="DRR130" s="98"/>
      <c r="DRS130" s="98"/>
      <c r="DRT130" s="98"/>
      <c r="DRU130" s="98"/>
      <c r="DRV130" s="98"/>
      <c r="DRW130" s="98"/>
      <c r="DRX130" s="98"/>
      <c r="DRY130" s="98"/>
      <c r="DRZ130" s="98"/>
      <c r="DSA130" s="98"/>
      <c r="DSB130" s="98"/>
      <c r="DSC130" s="98"/>
      <c r="DSD130" s="98"/>
      <c r="DSE130" s="98"/>
      <c r="DSF130" s="98"/>
      <c r="DSG130" s="98"/>
      <c r="DSH130" s="98"/>
      <c r="DSI130" s="98"/>
      <c r="DSJ130" s="98"/>
      <c r="DSK130" s="98"/>
      <c r="DSL130" s="98"/>
      <c r="DSM130" s="98"/>
      <c r="DSN130" s="98"/>
      <c r="DSO130" s="98"/>
      <c r="DSP130" s="98"/>
      <c r="DSQ130" s="98"/>
      <c r="DSR130" s="98"/>
      <c r="DSS130" s="98"/>
      <c r="DST130" s="98"/>
      <c r="DSU130" s="98"/>
      <c r="DSV130" s="98"/>
      <c r="DSW130" s="98"/>
      <c r="DSX130" s="98"/>
      <c r="DSY130" s="98"/>
      <c r="DSZ130" s="98"/>
      <c r="DTA130" s="98"/>
      <c r="DTB130" s="98"/>
      <c r="DTC130" s="98"/>
      <c r="DTD130" s="98"/>
      <c r="DTE130" s="98"/>
      <c r="DTF130" s="98"/>
      <c r="DTG130" s="98"/>
      <c r="DTH130" s="98"/>
      <c r="DTI130" s="98"/>
      <c r="DTJ130" s="98"/>
      <c r="DTK130" s="98"/>
      <c r="DTL130" s="98"/>
      <c r="DTM130" s="98"/>
      <c r="DTN130" s="98"/>
      <c r="DTO130" s="98"/>
      <c r="DTP130" s="98"/>
      <c r="DTQ130" s="98"/>
      <c r="DTR130" s="98"/>
      <c r="DTS130" s="98"/>
      <c r="DTT130" s="98"/>
      <c r="DTU130" s="98"/>
      <c r="DTV130" s="98"/>
      <c r="DTW130" s="98"/>
      <c r="DTX130" s="98"/>
      <c r="DTY130" s="98"/>
      <c r="DTZ130" s="98"/>
      <c r="DUA130" s="98"/>
      <c r="DUB130" s="98"/>
      <c r="DUC130" s="98"/>
      <c r="DUD130" s="98"/>
      <c r="DUE130" s="98"/>
      <c r="DUF130" s="98"/>
      <c r="DUG130" s="98"/>
      <c r="DUH130" s="98"/>
      <c r="DUI130" s="98"/>
      <c r="DUJ130" s="98"/>
      <c r="DUK130" s="98"/>
      <c r="DUL130" s="98"/>
      <c r="DUM130" s="98"/>
      <c r="DUN130" s="98"/>
      <c r="DUO130" s="98"/>
      <c r="DUP130" s="98"/>
      <c r="DUQ130" s="98"/>
      <c r="DUR130" s="98"/>
      <c r="DUS130" s="98"/>
      <c r="DUT130" s="98"/>
      <c r="DUU130" s="98"/>
      <c r="DUV130" s="98"/>
      <c r="DUW130" s="98"/>
      <c r="DUX130" s="98"/>
      <c r="DUY130" s="98"/>
      <c r="DUZ130" s="98"/>
      <c r="DVA130" s="98"/>
      <c r="DVB130" s="98"/>
      <c r="DVC130" s="98"/>
      <c r="DVD130" s="98"/>
      <c r="DVE130" s="98"/>
      <c r="DVF130" s="98"/>
      <c r="DVG130" s="98"/>
      <c r="DVH130" s="98"/>
      <c r="DVI130" s="98"/>
      <c r="DVJ130" s="98"/>
      <c r="DVK130" s="98"/>
      <c r="DVL130" s="98"/>
      <c r="DVM130" s="98"/>
      <c r="DVN130" s="98"/>
      <c r="DVO130" s="98"/>
      <c r="DVP130" s="98"/>
      <c r="DVQ130" s="98"/>
      <c r="DVR130" s="98"/>
      <c r="DVS130" s="98"/>
      <c r="DVT130" s="98"/>
      <c r="DVU130" s="98"/>
      <c r="DVV130" s="98"/>
      <c r="DVW130" s="98"/>
      <c r="DVX130" s="98"/>
      <c r="DVY130" s="98"/>
      <c r="DVZ130" s="98"/>
      <c r="DWA130" s="98"/>
      <c r="DWB130" s="98"/>
      <c r="DWC130" s="98"/>
      <c r="DWD130" s="98"/>
      <c r="DWE130" s="98"/>
      <c r="DWF130" s="98"/>
      <c r="DWG130" s="98"/>
      <c r="DWH130" s="98"/>
      <c r="DWI130" s="98"/>
      <c r="DWJ130" s="98"/>
      <c r="DWK130" s="98"/>
      <c r="DWL130" s="98"/>
      <c r="DWM130" s="98"/>
      <c r="DWN130" s="98"/>
      <c r="DWO130" s="98"/>
      <c r="DWP130" s="98"/>
      <c r="DWQ130" s="98"/>
      <c r="DWR130" s="98"/>
      <c r="DWS130" s="98"/>
      <c r="DWT130" s="98"/>
      <c r="DWU130" s="98"/>
      <c r="DWV130" s="98"/>
      <c r="DWW130" s="98"/>
      <c r="DWX130" s="98"/>
      <c r="DWY130" s="98"/>
      <c r="DWZ130" s="98"/>
      <c r="DXA130" s="98"/>
      <c r="DXB130" s="98"/>
      <c r="DXC130" s="98"/>
      <c r="DXD130" s="98"/>
      <c r="DXE130" s="98"/>
      <c r="DXF130" s="98"/>
      <c r="DXG130" s="98"/>
      <c r="DXH130" s="98"/>
      <c r="DXI130" s="98"/>
      <c r="DXJ130" s="98"/>
      <c r="DXK130" s="98"/>
      <c r="DXL130" s="98"/>
      <c r="DXM130" s="98"/>
      <c r="DXN130" s="98"/>
      <c r="DXO130" s="98"/>
      <c r="DXP130" s="98"/>
      <c r="DXQ130" s="98"/>
      <c r="DXR130" s="98"/>
      <c r="DXS130" s="98"/>
      <c r="DXT130" s="98"/>
      <c r="DXU130" s="98"/>
      <c r="DXV130" s="98"/>
      <c r="DXW130" s="98"/>
      <c r="DXX130" s="98"/>
      <c r="DXY130" s="98"/>
      <c r="DXZ130" s="98"/>
      <c r="DYA130" s="98"/>
      <c r="DYB130" s="98"/>
      <c r="DYC130" s="98"/>
      <c r="DYD130" s="98"/>
      <c r="DYE130" s="98"/>
      <c r="DYF130" s="98"/>
      <c r="DYG130" s="98"/>
      <c r="DYH130" s="98"/>
      <c r="DYI130" s="98"/>
      <c r="DYJ130" s="98"/>
      <c r="DYK130" s="98"/>
      <c r="DYL130" s="98"/>
      <c r="DYM130" s="98"/>
      <c r="DYN130" s="98"/>
      <c r="DYO130" s="98"/>
      <c r="DYP130" s="98"/>
      <c r="DYQ130" s="98"/>
      <c r="DYR130" s="98"/>
      <c r="DYS130" s="98"/>
      <c r="DYT130" s="98"/>
      <c r="DYU130" s="98"/>
      <c r="DYV130" s="98"/>
      <c r="DYW130" s="98"/>
      <c r="DYX130" s="98"/>
      <c r="DYY130" s="98"/>
      <c r="DYZ130" s="98"/>
      <c r="DZA130" s="98"/>
      <c r="DZB130" s="98"/>
      <c r="DZC130" s="98"/>
      <c r="DZD130" s="98"/>
      <c r="DZE130" s="98"/>
      <c r="DZF130" s="98"/>
      <c r="DZG130" s="98"/>
      <c r="DZH130" s="98"/>
      <c r="DZI130" s="98"/>
      <c r="DZJ130" s="98"/>
      <c r="DZK130" s="98"/>
      <c r="DZL130" s="98"/>
      <c r="DZM130" s="98"/>
      <c r="DZN130" s="98"/>
      <c r="DZO130" s="98"/>
      <c r="DZP130" s="98"/>
      <c r="DZQ130" s="98"/>
      <c r="DZR130" s="98"/>
      <c r="DZS130" s="98"/>
      <c r="DZT130" s="98"/>
      <c r="DZU130" s="98"/>
      <c r="DZV130" s="98"/>
      <c r="DZW130" s="98"/>
      <c r="DZX130" s="98"/>
      <c r="DZY130" s="98"/>
      <c r="DZZ130" s="98"/>
      <c r="EAA130" s="98"/>
      <c r="EAB130" s="98"/>
      <c r="EAC130" s="98"/>
      <c r="EAD130" s="98"/>
      <c r="EAE130" s="98"/>
      <c r="EAF130" s="98"/>
      <c r="EAG130" s="98"/>
      <c r="EAH130" s="98"/>
      <c r="EAI130" s="98"/>
      <c r="EAJ130" s="98"/>
      <c r="EAK130" s="98"/>
      <c r="EAL130" s="98"/>
      <c r="EAM130" s="98"/>
      <c r="EAN130" s="98"/>
      <c r="EAO130" s="98"/>
      <c r="EAP130" s="98"/>
      <c r="EAQ130" s="98"/>
      <c r="EAR130" s="98"/>
      <c r="EAS130" s="98"/>
      <c r="EAT130" s="98"/>
      <c r="EAU130" s="98"/>
      <c r="EAV130" s="98"/>
      <c r="EAW130" s="98"/>
      <c r="EAX130" s="98"/>
      <c r="EAY130" s="98"/>
      <c r="EAZ130" s="98"/>
      <c r="EBA130" s="98"/>
      <c r="EBB130" s="98"/>
      <c r="EBC130" s="98"/>
      <c r="EBD130" s="98"/>
      <c r="EBE130" s="98"/>
      <c r="EBF130" s="98"/>
      <c r="EBG130" s="98"/>
      <c r="EBH130" s="98"/>
      <c r="EBI130" s="98"/>
      <c r="EBJ130" s="98"/>
      <c r="EBK130" s="98"/>
      <c r="EBL130" s="98"/>
      <c r="EBM130" s="98"/>
      <c r="EBN130" s="98"/>
      <c r="EBO130" s="98"/>
      <c r="EBP130" s="98"/>
      <c r="EBQ130" s="98"/>
      <c r="EBR130" s="98"/>
      <c r="EBS130" s="98"/>
      <c r="EBT130" s="98"/>
      <c r="EBU130" s="98"/>
      <c r="EBV130" s="98"/>
      <c r="EBW130" s="98"/>
      <c r="EBX130" s="98"/>
      <c r="EBY130" s="98"/>
      <c r="EBZ130" s="98"/>
      <c r="ECA130" s="98"/>
      <c r="ECB130" s="98"/>
      <c r="ECC130" s="98"/>
      <c r="ECD130" s="98"/>
      <c r="ECE130" s="98"/>
      <c r="ECF130" s="98"/>
      <c r="ECG130" s="98"/>
      <c r="ECH130" s="98"/>
      <c r="ECI130" s="98"/>
      <c r="ECJ130" s="98"/>
      <c r="ECK130" s="98"/>
      <c r="ECL130" s="98"/>
      <c r="ECM130" s="98"/>
      <c r="ECN130" s="98"/>
      <c r="ECO130" s="98"/>
      <c r="ECP130" s="98"/>
      <c r="ECQ130" s="98"/>
      <c r="ECR130" s="98"/>
      <c r="ECS130" s="98"/>
      <c r="ECT130" s="98"/>
      <c r="ECU130" s="98"/>
      <c r="ECV130" s="98"/>
      <c r="ECW130" s="98"/>
      <c r="ECX130" s="98"/>
      <c r="ECY130" s="98"/>
      <c r="ECZ130" s="98"/>
      <c r="EDA130" s="98"/>
      <c r="EDB130" s="98"/>
      <c r="EDC130" s="98"/>
      <c r="EDD130" s="98"/>
      <c r="EDE130" s="98"/>
      <c r="EDF130" s="98"/>
      <c r="EDG130" s="98"/>
      <c r="EDH130" s="98"/>
      <c r="EDI130" s="98"/>
      <c r="EDJ130" s="98"/>
      <c r="EDK130" s="98"/>
      <c r="EDL130" s="98"/>
      <c r="EDM130" s="98"/>
      <c r="EDN130" s="98"/>
      <c r="EDO130" s="98"/>
      <c r="EDP130" s="98"/>
      <c r="EDQ130" s="98"/>
      <c r="EDR130" s="98"/>
      <c r="EDS130" s="98"/>
      <c r="EDT130" s="98"/>
      <c r="EDU130" s="98"/>
      <c r="EDV130" s="98"/>
      <c r="EDW130" s="98"/>
      <c r="EDX130" s="98"/>
      <c r="EDY130" s="98"/>
      <c r="EDZ130" s="98"/>
      <c r="EEA130" s="98"/>
      <c r="EEB130" s="98"/>
      <c r="EEC130" s="98"/>
      <c r="EED130" s="98"/>
      <c r="EEE130" s="98"/>
      <c r="EEF130" s="98"/>
      <c r="EEG130" s="98"/>
      <c r="EEH130" s="98"/>
      <c r="EEI130" s="98"/>
      <c r="EEJ130" s="98"/>
      <c r="EEK130" s="98"/>
      <c r="EEL130" s="98"/>
      <c r="EEM130" s="98"/>
      <c r="EEN130" s="98"/>
      <c r="EEO130" s="98"/>
      <c r="EEP130" s="98"/>
      <c r="EEQ130" s="98"/>
      <c r="EER130" s="98"/>
      <c r="EES130" s="98"/>
      <c r="EET130" s="98"/>
      <c r="EEU130" s="98"/>
      <c r="EEV130" s="98"/>
      <c r="EEW130" s="98"/>
      <c r="EEX130" s="98"/>
      <c r="EEY130" s="98"/>
      <c r="EEZ130" s="98"/>
      <c r="EFA130" s="98"/>
      <c r="EFB130" s="98"/>
      <c r="EFC130" s="98"/>
      <c r="EFD130" s="98"/>
      <c r="EFE130" s="98"/>
      <c r="EFF130" s="98"/>
      <c r="EFG130" s="98"/>
      <c r="EFH130" s="98"/>
      <c r="EFI130" s="98"/>
      <c r="EFJ130" s="98"/>
      <c r="EFK130" s="98"/>
      <c r="EFL130" s="98"/>
      <c r="EFM130" s="98"/>
      <c r="EFN130" s="98"/>
      <c r="EFO130" s="98"/>
      <c r="EFP130" s="98"/>
      <c r="EFQ130" s="98"/>
      <c r="EFR130" s="98"/>
      <c r="EFS130" s="98"/>
      <c r="EFT130" s="98"/>
      <c r="EFU130" s="98"/>
      <c r="EFV130" s="98"/>
      <c r="EFW130" s="98"/>
      <c r="EFX130" s="98"/>
      <c r="EFY130" s="98"/>
      <c r="EFZ130" s="98"/>
      <c r="EGA130" s="98"/>
      <c r="EGB130" s="98"/>
      <c r="EGC130" s="98"/>
      <c r="EGD130" s="98"/>
      <c r="EGE130" s="98"/>
      <c r="EGF130" s="98"/>
      <c r="EGG130" s="98"/>
      <c r="EGH130" s="98"/>
      <c r="EGI130" s="98"/>
      <c r="EGJ130" s="98"/>
      <c r="EGK130" s="98"/>
      <c r="EGL130" s="98"/>
      <c r="EGM130" s="98"/>
      <c r="EGN130" s="98"/>
      <c r="EGO130" s="98"/>
      <c r="EGP130" s="98"/>
      <c r="EGQ130" s="98"/>
      <c r="EGR130" s="98"/>
      <c r="EGS130" s="98"/>
      <c r="EGT130" s="98"/>
      <c r="EGU130" s="98"/>
      <c r="EGV130" s="98"/>
      <c r="EGW130" s="98"/>
      <c r="EGX130" s="98"/>
      <c r="EGY130" s="98"/>
      <c r="EGZ130" s="98"/>
      <c r="EHA130" s="98"/>
      <c r="EHB130" s="98"/>
      <c r="EHC130" s="98"/>
      <c r="EHD130" s="98"/>
      <c r="EHE130" s="98"/>
      <c r="EHF130" s="98"/>
      <c r="EHG130" s="98"/>
      <c r="EHH130" s="98"/>
      <c r="EHI130" s="98"/>
      <c r="EHJ130" s="98"/>
      <c r="EHK130" s="98"/>
      <c r="EHL130" s="98"/>
      <c r="EHM130" s="98"/>
      <c r="EHN130" s="98"/>
      <c r="EHO130" s="98"/>
      <c r="EHP130" s="98"/>
      <c r="EHQ130" s="98"/>
      <c r="EHR130" s="98"/>
      <c r="EHS130" s="98"/>
      <c r="EHT130" s="98"/>
      <c r="EHU130" s="98"/>
      <c r="EHV130" s="98"/>
      <c r="EHW130" s="98"/>
      <c r="EHX130" s="98"/>
      <c r="EHY130" s="98"/>
      <c r="EHZ130" s="98"/>
      <c r="EIA130" s="98"/>
      <c r="EIB130" s="98"/>
      <c r="EIC130" s="98"/>
      <c r="EID130" s="98"/>
      <c r="EIE130" s="98"/>
      <c r="EIF130" s="98"/>
      <c r="EIG130" s="98"/>
      <c r="EIH130" s="98"/>
      <c r="EII130" s="98"/>
      <c r="EIJ130" s="98"/>
      <c r="EIK130" s="98"/>
      <c r="EIL130" s="98"/>
      <c r="EIM130" s="98"/>
      <c r="EIN130" s="98"/>
      <c r="EIO130" s="98"/>
      <c r="EIP130" s="98"/>
      <c r="EIQ130" s="98"/>
      <c r="EIR130" s="98"/>
      <c r="EIS130" s="98"/>
      <c r="EIT130" s="98"/>
      <c r="EIU130" s="98"/>
      <c r="EIV130" s="98"/>
      <c r="EIW130" s="98"/>
      <c r="EIX130" s="98"/>
      <c r="EIY130" s="98"/>
      <c r="EIZ130" s="98"/>
      <c r="EJA130" s="98"/>
      <c r="EJB130" s="98"/>
      <c r="EJC130" s="98"/>
      <c r="EJD130" s="98"/>
      <c r="EJE130" s="98"/>
      <c r="EJF130" s="98"/>
      <c r="EJG130" s="98"/>
      <c r="EJH130" s="98"/>
      <c r="EJI130" s="98"/>
      <c r="EJJ130" s="98"/>
      <c r="EJK130" s="98"/>
      <c r="EJL130" s="98"/>
      <c r="EJM130" s="98"/>
      <c r="EJN130" s="98"/>
      <c r="EJO130" s="98"/>
      <c r="EJP130" s="98"/>
      <c r="EJQ130" s="98"/>
      <c r="EJR130" s="98"/>
      <c r="EJS130" s="98"/>
      <c r="EJT130" s="98"/>
      <c r="EJU130" s="98"/>
      <c r="EJV130" s="98"/>
      <c r="EJW130" s="98"/>
      <c r="EJX130" s="98"/>
      <c r="EJY130" s="98"/>
      <c r="EJZ130" s="98"/>
      <c r="EKA130" s="98"/>
      <c r="EKB130" s="98"/>
      <c r="EKC130" s="98"/>
      <c r="EKD130" s="98"/>
      <c r="EKE130" s="98"/>
      <c r="EKF130" s="98"/>
      <c r="EKG130" s="98"/>
      <c r="EKH130" s="98"/>
      <c r="EKI130" s="98"/>
      <c r="EKJ130" s="98"/>
      <c r="EKK130" s="98"/>
      <c r="EKL130" s="98"/>
      <c r="EKM130" s="98"/>
      <c r="EKN130" s="98"/>
      <c r="EKO130" s="98"/>
      <c r="EKP130" s="98"/>
      <c r="EKQ130" s="98"/>
      <c r="EKR130" s="98"/>
      <c r="EKS130" s="98"/>
      <c r="EKT130" s="98"/>
      <c r="EKU130" s="98"/>
      <c r="EKV130" s="98"/>
      <c r="EKW130" s="98"/>
      <c r="EKX130" s="98"/>
      <c r="EKY130" s="98"/>
      <c r="EKZ130" s="98"/>
      <c r="ELA130" s="98"/>
      <c r="ELB130" s="98"/>
      <c r="ELC130" s="98"/>
      <c r="ELD130" s="98"/>
      <c r="ELE130" s="98"/>
      <c r="ELF130" s="98"/>
      <c r="ELG130" s="98"/>
      <c r="ELH130" s="98"/>
      <c r="ELI130" s="98"/>
      <c r="ELJ130" s="98"/>
      <c r="ELK130" s="98"/>
      <c r="ELL130" s="98"/>
      <c r="ELM130" s="98"/>
      <c r="ELN130" s="98"/>
      <c r="ELO130" s="98"/>
      <c r="ELP130" s="98"/>
      <c r="ELQ130" s="98"/>
      <c r="ELR130" s="98"/>
      <c r="ELS130" s="98"/>
      <c r="ELT130" s="98"/>
      <c r="ELU130" s="98"/>
      <c r="ELV130" s="98"/>
      <c r="ELW130" s="98"/>
      <c r="ELX130" s="98"/>
      <c r="ELY130" s="98"/>
      <c r="ELZ130" s="98"/>
      <c r="EMA130" s="98"/>
      <c r="EMB130" s="98"/>
      <c r="EMC130" s="98"/>
      <c r="EMD130" s="98"/>
      <c r="EME130" s="98"/>
      <c r="EMF130" s="98"/>
      <c r="EMG130" s="98"/>
      <c r="EMH130" s="98"/>
      <c r="EMI130" s="98"/>
      <c r="EMJ130" s="98"/>
      <c r="EMK130" s="98"/>
      <c r="EML130" s="98"/>
      <c r="EMM130" s="98"/>
      <c r="EMN130" s="98"/>
      <c r="EMO130" s="98"/>
      <c r="EMP130" s="98"/>
      <c r="EMQ130" s="98"/>
      <c r="EMR130" s="98"/>
      <c r="EMS130" s="98"/>
      <c r="EMT130" s="98"/>
      <c r="EMU130" s="98"/>
      <c r="EMV130" s="98"/>
      <c r="EMW130" s="98"/>
      <c r="EMX130" s="98"/>
      <c r="EMY130" s="98"/>
      <c r="EMZ130" s="98"/>
      <c r="ENA130" s="98"/>
      <c r="ENB130" s="98"/>
      <c r="ENC130" s="98"/>
      <c r="END130" s="98"/>
      <c r="ENE130" s="98"/>
      <c r="ENF130" s="98"/>
      <c r="ENG130" s="98"/>
      <c r="ENH130" s="98"/>
      <c r="ENI130" s="98"/>
      <c r="ENJ130" s="98"/>
      <c r="ENK130" s="98"/>
      <c r="ENL130" s="98"/>
      <c r="ENM130" s="98"/>
      <c r="ENN130" s="98"/>
      <c r="ENO130" s="98"/>
      <c r="ENP130" s="98"/>
      <c r="ENQ130" s="98"/>
      <c r="ENR130" s="98"/>
      <c r="ENS130" s="98"/>
      <c r="ENT130" s="98"/>
      <c r="ENU130" s="98"/>
      <c r="ENV130" s="98"/>
      <c r="ENW130" s="98"/>
      <c r="ENX130" s="98"/>
      <c r="ENY130" s="98"/>
      <c r="ENZ130" s="98"/>
      <c r="EOA130" s="98"/>
      <c r="EOB130" s="98"/>
      <c r="EOC130" s="98"/>
      <c r="EOD130" s="98"/>
      <c r="EOE130" s="98"/>
      <c r="EOF130" s="98"/>
      <c r="EOG130" s="98"/>
      <c r="EOH130" s="98"/>
      <c r="EOI130" s="98"/>
      <c r="EOJ130" s="98"/>
      <c r="EOK130" s="98"/>
      <c r="EOL130" s="98"/>
      <c r="EOM130" s="98"/>
      <c r="EON130" s="98"/>
      <c r="EOO130" s="98"/>
      <c r="EOP130" s="98"/>
      <c r="EOQ130" s="98"/>
      <c r="EOR130" s="98"/>
      <c r="EOS130" s="98"/>
      <c r="EOT130" s="98"/>
      <c r="EOU130" s="98"/>
      <c r="EOV130" s="98"/>
      <c r="EOW130" s="98"/>
      <c r="EOX130" s="98"/>
      <c r="EOY130" s="98"/>
      <c r="EOZ130" s="98"/>
      <c r="EPA130" s="98"/>
      <c r="EPB130" s="98"/>
      <c r="EPC130" s="98"/>
      <c r="EPD130" s="98"/>
      <c r="EPE130" s="98"/>
      <c r="EPF130" s="98"/>
      <c r="EPG130" s="98"/>
      <c r="EPH130" s="98"/>
      <c r="EPI130" s="98"/>
      <c r="EPJ130" s="98"/>
      <c r="EPK130" s="98"/>
      <c r="EPL130" s="98"/>
      <c r="EPM130" s="98"/>
      <c r="EPN130" s="98"/>
      <c r="EPO130" s="98"/>
      <c r="EPP130" s="98"/>
      <c r="EPQ130" s="98"/>
      <c r="EPR130" s="98"/>
      <c r="EPS130" s="98"/>
      <c r="EPT130" s="98"/>
      <c r="EPU130" s="98"/>
      <c r="EPV130" s="98"/>
      <c r="EPW130" s="98"/>
      <c r="EPX130" s="98"/>
      <c r="EPY130" s="98"/>
      <c r="EPZ130" s="98"/>
      <c r="EQA130" s="98"/>
      <c r="EQB130" s="98"/>
      <c r="EQC130" s="98"/>
      <c r="EQD130" s="98"/>
      <c r="EQE130" s="98"/>
      <c r="EQF130" s="98"/>
      <c r="EQG130" s="98"/>
      <c r="EQH130" s="98"/>
      <c r="EQI130" s="98"/>
      <c r="EQJ130" s="98"/>
      <c r="EQK130" s="98"/>
      <c r="EQL130" s="98"/>
      <c r="EQM130" s="98"/>
      <c r="EQN130" s="98"/>
      <c r="EQO130" s="98"/>
      <c r="EQP130" s="98"/>
      <c r="EQQ130" s="98"/>
      <c r="EQR130" s="98"/>
      <c r="EQS130" s="98"/>
      <c r="EQT130" s="98"/>
      <c r="EQU130" s="98"/>
      <c r="EQV130" s="98"/>
      <c r="EQW130" s="98"/>
      <c r="EQX130" s="98"/>
      <c r="EQY130" s="98"/>
      <c r="EQZ130" s="98"/>
      <c r="ERA130" s="98"/>
      <c r="ERB130" s="98"/>
      <c r="ERC130" s="98"/>
      <c r="ERD130" s="98"/>
      <c r="ERE130" s="98"/>
      <c r="ERF130" s="98"/>
      <c r="ERG130" s="98"/>
      <c r="ERH130" s="98"/>
      <c r="ERI130" s="98"/>
      <c r="ERJ130" s="98"/>
      <c r="ERK130" s="98"/>
      <c r="ERL130" s="98"/>
      <c r="ERM130" s="98"/>
      <c r="ERN130" s="98"/>
      <c r="ERO130" s="98"/>
      <c r="ERP130" s="98"/>
      <c r="ERQ130" s="98"/>
      <c r="ERR130" s="98"/>
      <c r="ERS130" s="98"/>
      <c r="ERT130" s="98"/>
      <c r="ERU130" s="98"/>
      <c r="ERV130" s="98"/>
      <c r="ERW130" s="98"/>
      <c r="ERX130" s="98"/>
      <c r="ERY130" s="98"/>
      <c r="ERZ130" s="98"/>
      <c r="ESA130" s="98"/>
      <c r="ESB130" s="98"/>
      <c r="ESC130" s="98"/>
      <c r="ESD130" s="98"/>
      <c r="ESE130" s="98"/>
      <c r="ESF130" s="98"/>
      <c r="ESG130" s="98"/>
      <c r="ESH130" s="98"/>
      <c r="ESI130" s="98"/>
      <c r="ESJ130" s="98"/>
      <c r="ESK130" s="98"/>
      <c r="ESL130" s="98"/>
      <c r="ESM130" s="98"/>
      <c r="ESN130" s="98"/>
      <c r="ESO130" s="98"/>
      <c r="ESP130" s="98"/>
      <c r="ESQ130" s="98"/>
      <c r="ESR130" s="98"/>
      <c r="ESS130" s="98"/>
      <c r="EST130" s="98"/>
      <c r="ESU130" s="98"/>
      <c r="ESV130" s="98"/>
      <c r="ESW130" s="98"/>
      <c r="ESX130" s="98"/>
      <c r="ESY130" s="98"/>
      <c r="ESZ130" s="98"/>
      <c r="ETA130" s="98"/>
      <c r="ETB130" s="98"/>
      <c r="ETC130" s="98"/>
      <c r="ETD130" s="98"/>
      <c r="ETE130" s="98"/>
      <c r="ETF130" s="98"/>
      <c r="ETG130" s="98"/>
      <c r="ETH130" s="98"/>
      <c r="ETI130" s="98"/>
      <c r="ETJ130" s="98"/>
      <c r="ETK130" s="98"/>
      <c r="ETL130" s="98"/>
      <c r="ETM130" s="98"/>
      <c r="ETN130" s="98"/>
      <c r="ETO130" s="98"/>
      <c r="ETP130" s="98"/>
      <c r="ETQ130" s="98"/>
      <c r="ETR130" s="98"/>
      <c r="ETS130" s="98"/>
      <c r="ETT130" s="98"/>
      <c r="ETU130" s="98"/>
      <c r="ETV130" s="98"/>
      <c r="ETW130" s="98"/>
      <c r="ETX130" s="98"/>
      <c r="ETY130" s="98"/>
      <c r="ETZ130" s="98"/>
      <c r="EUA130" s="98"/>
      <c r="EUB130" s="98"/>
      <c r="EUC130" s="98"/>
      <c r="EUD130" s="98"/>
      <c r="EUE130" s="98"/>
      <c r="EUF130" s="98"/>
      <c r="EUG130" s="98"/>
      <c r="EUH130" s="98"/>
      <c r="EUI130" s="98"/>
      <c r="EUJ130" s="98"/>
      <c r="EUK130" s="98"/>
      <c r="EUL130" s="98"/>
      <c r="EUM130" s="98"/>
      <c r="EUN130" s="98"/>
      <c r="EUO130" s="98"/>
      <c r="EUP130" s="98"/>
      <c r="EUQ130" s="98"/>
      <c r="EUR130" s="98"/>
      <c r="EUS130" s="98"/>
      <c r="EUT130" s="98"/>
      <c r="EUU130" s="98"/>
      <c r="EUV130" s="98"/>
      <c r="EUW130" s="98"/>
      <c r="EUX130" s="98"/>
      <c r="EUY130" s="98"/>
      <c r="EUZ130" s="98"/>
      <c r="EVA130" s="98"/>
      <c r="EVB130" s="98"/>
      <c r="EVC130" s="98"/>
      <c r="EVD130" s="98"/>
      <c r="EVE130" s="98"/>
      <c r="EVF130" s="98"/>
      <c r="EVG130" s="98"/>
      <c r="EVH130" s="98"/>
      <c r="EVI130" s="98"/>
      <c r="EVJ130" s="98"/>
      <c r="EVK130" s="98"/>
      <c r="EVL130" s="98"/>
      <c r="EVM130" s="98"/>
      <c r="EVN130" s="98"/>
      <c r="EVO130" s="98"/>
      <c r="EVP130" s="98"/>
      <c r="EVQ130" s="98"/>
      <c r="EVR130" s="98"/>
      <c r="EVS130" s="98"/>
      <c r="EVT130" s="98"/>
      <c r="EVU130" s="98"/>
      <c r="EVV130" s="98"/>
      <c r="EVW130" s="98"/>
      <c r="EVX130" s="98"/>
      <c r="EVY130" s="98"/>
      <c r="EVZ130" s="98"/>
      <c r="EWA130" s="98"/>
      <c r="EWB130" s="98"/>
      <c r="EWC130" s="98"/>
      <c r="EWD130" s="98"/>
      <c r="EWE130" s="98"/>
      <c r="EWF130" s="98"/>
      <c r="EWG130" s="98"/>
      <c r="EWH130" s="98"/>
      <c r="EWI130" s="98"/>
      <c r="EWJ130" s="98"/>
      <c r="EWK130" s="98"/>
      <c r="EWL130" s="98"/>
      <c r="EWM130" s="98"/>
      <c r="EWN130" s="98"/>
      <c r="EWO130" s="98"/>
      <c r="EWP130" s="98"/>
      <c r="EWQ130" s="98"/>
      <c r="EWR130" s="98"/>
      <c r="EWS130" s="98"/>
      <c r="EWT130" s="98"/>
      <c r="EWU130" s="98"/>
      <c r="EWV130" s="98"/>
      <c r="EWW130" s="98"/>
      <c r="EWX130" s="98"/>
      <c r="EWY130" s="98"/>
      <c r="EWZ130" s="98"/>
      <c r="EXA130" s="98"/>
      <c r="EXB130" s="98"/>
      <c r="EXC130" s="98"/>
      <c r="EXD130" s="98"/>
      <c r="EXE130" s="98"/>
      <c r="EXF130" s="98"/>
      <c r="EXG130" s="98"/>
      <c r="EXH130" s="98"/>
      <c r="EXI130" s="98"/>
      <c r="EXJ130" s="98"/>
      <c r="EXK130" s="98"/>
      <c r="EXL130" s="98"/>
      <c r="EXM130" s="98"/>
      <c r="EXN130" s="98"/>
      <c r="EXO130" s="98"/>
      <c r="EXP130" s="98"/>
      <c r="EXQ130" s="98"/>
      <c r="EXR130" s="98"/>
      <c r="EXS130" s="98"/>
      <c r="EXT130" s="98"/>
      <c r="EXU130" s="98"/>
      <c r="EXV130" s="98"/>
      <c r="EXW130" s="98"/>
      <c r="EXX130" s="98"/>
      <c r="EXY130" s="98"/>
      <c r="EXZ130" s="98"/>
      <c r="EYA130" s="98"/>
      <c r="EYB130" s="98"/>
      <c r="EYC130" s="98"/>
      <c r="EYD130" s="98"/>
      <c r="EYE130" s="98"/>
      <c r="EYF130" s="98"/>
      <c r="EYG130" s="98"/>
      <c r="EYH130" s="98"/>
      <c r="EYI130" s="98"/>
      <c r="EYJ130" s="98"/>
      <c r="EYK130" s="98"/>
      <c r="EYL130" s="98"/>
      <c r="EYM130" s="98"/>
      <c r="EYN130" s="98"/>
      <c r="EYO130" s="98"/>
      <c r="EYP130" s="98"/>
      <c r="EYQ130" s="98"/>
      <c r="EYR130" s="98"/>
      <c r="EYS130" s="98"/>
      <c r="EYT130" s="98"/>
      <c r="EYU130" s="98"/>
      <c r="EYV130" s="98"/>
      <c r="EYW130" s="98"/>
      <c r="EYX130" s="98"/>
      <c r="EYY130" s="98"/>
      <c r="EYZ130" s="98"/>
      <c r="EZA130" s="98"/>
      <c r="EZB130" s="98"/>
      <c r="EZC130" s="98"/>
      <c r="EZD130" s="98"/>
      <c r="EZE130" s="98"/>
      <c r="EZF130" s="98"/>
      <c r="EZG130" s="98"/>
      <c r="EZH130" s="98"/>
      <c r="EZI130" s="98"/>
      <c r="EZJ130" s="98"/>
      <c r="EZK130" s="98"/>
      <c r="EZL130" s="98"/>
      <c r="EZM130" s="98"/>
      <c r="EZN130" s="98"/>
      <c r="EZO130" s="98"/>
      <c r="EZP130" s="98"/>
      <c r="EZQ130" s="98"/>
      <c r="EZR130" s="98"/>
      <c r="EZS130" s="98"/>
      <c r="EZT130" s="98"/>
      <c r="EZU130" s="98"/>
      <c r="EZV130" s="98"/>
      <c r="EZW130" s="98"/>
      <c r="EZX130" s="98"/>
      <c r="EZY130" s="98"/>
      <c r="EZZ130" s="98"/>
      <c r="FAA130" s="98"/>
      <c r="FAB130" s="98"/>
      <c r="FAC130" s="98"/>
      <c r="FAD130" s="98"/>
      <c r="FAE130" s="98"/>
      <c r="FAF130" s="98"/>
      <c r="FAG130" s="98"/>
      <c r="FAH130" s="98"/>
      <c r="FAI130" s="98"/>
      <c r="FAJ130" s="98"/>
      <c r="FAK130" s="98"/>
      <c r="FAL130" s="98"/>
      <c r="FAM130" s="98"/>
      <c r="FAN130" s="98"/>
      <c r="FAO130" s="98"/>
      <c r="FAP130" s="98"/>
      <c r="FAQ130" s="98"/>
      <c r="FAR130" s="98"/>
      <c r="FAS130" s="98"/>
      <c r="FAT130" s="98"/>
      <c r="FAU130" s="98"/>
      <c r="FAV130" s="98"/>
      <c r="FAW130" s="98"/>
      <c r="FAX130" s="98"/>
      <c r="FAY130" s="98"/>
      <c r="FAZ130" s="98"/>
      <c r="FBA130" s="98"/>
      <c r="FBB130" s="98"/>
      <c r="FBC130" s="98"/>
      <c r="FBD130" s="98"/>
      <c r="FBE130" s="98"/>
      <c r="FBF130" s="98"/>
      <c r="FBG130" s="98"/>
      <c r="FBH130" s="98"/>
      <c r="FBI130" s="98"/>
      <c r="FBJ130" s="98"/>
      <c r="FBK130" s="98"/>
      <c r="FBL130" s="98"/>
      <c r="FBM130" s="98"/>
      <c r="FBN130" s="98"/>
      <c r="FBO130" s="98"/>
      <c r="FBP130" s="98"/>
      <c r="FBQ130" s="98"/>
      <c r="FBR130" s="98"/>
      <c r="FBS130" s="98"/>
      <c r="FBT130" s="98"/>
      <c r="FBU130" s="98"/>
      <c r="FBV130" s="98"/>
      <c r="FBW130" s="98"/>
      <c r="FBX130" s="98"/>
      <c r="FBY130" s="98"/>
      <c r="FBZ130" s="98"/>
      <c r="FCA130" s="98"/>
      <c r="FCB130" s="98"/>
      <c r="FCC130" s="98"/>
      <c r="FCD130" s="98"/>
      <c r="FCE130" s="98"/>
      <c r="FCF130" s="98"/>
      <c r="FCG130" s="98"/>
      <c r="FCH130" s="98"/>
      <c r="FCI130" s="98"/>
      <c r="FCJ130" s="98"/>
      <c r="FCK130" s="98"/>
      <c r="FCL130" s="98"/>
      <c r="FCM130" s="98"/>
      <c r="FCN130" s="98"/>
      <c r="FCO130" s="98"/>
      <c r="FCP130" s="98"/>
      <c r="FCQ130" s="98"/>
      <c r="FCR130" s="98"/>
      <c r="FCS130" s="98"/>
      <c r="FCT130" s="98"/>
      <c r="FCU130" s="98"/>
      <c r="FCV130" s="98"/>
      <c r="FCW130" s="98"/>
      <c r="FCX130" s="98"/>
      <c r="FCY130" s="98"/>
      <c r="FCZ130" s="98"/>
      <c r="FDA130" s="98"/>
      <c r="FDB130" s="98"/>
      <c r="FDC130" s="98"/>
      <c r="FDD130" s="98"/>
      <c r="FDE130" s="98"/>
      <c r="FDF130" s="98"/>
      <c r="FDG130" s="98"/>
      <c r="FDH130" s="98"/>
      <c r="FDI130" s="98"/>
      <c r="FDJ130" s="98"/>
      <c r="FDK130" s="98"/>
      <c r="FDL130" s="98"/>
      <c r="FDM130" s="98"/>
      <c r="FDN130" s="98"/>
      <c r="FDO130" s="98"/>
      <c r="FDP130" s="98"/>
      <c r="FDQ130" s="98"/>
      <c r="FDR130" s="98"/>
      <c r="FDS130" s="98"/>
      <c r="FDT130" s="98"/>
      <c r="FDU130" s="98"/>
      <c r="FDV130" s="98"/>
      <c r="FDW130" s="98"/>
      <c r="FDX130" s="98"/>
      <c r="FDY130" s="98"/>
      <c r="FDZ130" s="98"/>
      <c r="FEA130" s="98"/>
      <c r="FEB130" s="98"/>
      <c r="FEC130" s="98"/>
      <c r="FED130" s="98"/>
      <c r="FEE130" s="98"/>
      <c r="FEF130" s="98"/>
      <c r="FEG130" s="98"/>
      <c r="FEH130" s="98"/>
      <c r="FEI130" s="98"/>
      <c r="FEJ130" s="98"/>
      <c r="FEK130" s="98"/>
      <c r="FEL130" s="98"/>
      <c r="FEM130" s="98"/>
      <c r="FEN130" s="98"/>
      <c r="FEO130" s="98"/>
      <c r="FEP130" s="98"/>
      <c r="FEQ130" s="98"/>
      <c r="FER130" s="98"/>
      <c r="FES130" s="98"/>
      <c r="FET130" s="98"/>
      <c r="FEU130" s="98"/>
      <c r="FEV130" s="98"/>
      <c r="FEW130" s="98"/>
      <c r="FEX130" s="98"/>
      <c r="FEY130" s="98"/>
      <c r="FEZ130" s="98"/>
      <c r="FFA130" s="98"/>
      <c r="FFB130" s="98"/>
      <c r="FFC130" s="98"/>
      <c r="FFD130" s="98"/>
      <c r="FFE130" s="98"/>
      <c r="FFF130" s="98"/>
      <c r="FFG130" s="98"/>
      <c r="FFH130" s="98"/>
      <c r="FFI130" s="98"/>
      <c r="FFJ130" s="98"/>
      <c r="FFK130" s="98"/>
      <c r="FFL130" s="98"/>
      <c r="FFM130" s="98"/>
      <c r="FFN130" s="98"/>
      <c r="FFO130" s="98"/>
      <c r="FFP130" s="98"/>
      <c r="FFQ130" s="98"/>
      <c r="FFR130" s="98"/>
      <c r="FFS130" s="98"/>
      <c r="FFT130" s="98"/>
      <c r="FFU130" s="98"/>
      <c r="FFV130" s="98"/>
      <c r="FFW130" s="98"/>
      <c r="FFX130" s="98"/>
      <c r="FFY130" s="98"/>
      <c r="FFZ130" s="98"/>
      <c r="FGA130" s="98"/>
      <c r="FGB130" s="98"/>
      <c r="FGC130" s="98"/>
      <c r="FGD130" s="98"/>
      <c r="FGE130" s="98"/>
      <c r="FGF130" s="98"/>
      <c r="FGG130" s="98"/>
      <c r="FGH130" s="98"/>
      <c r="FGI130" s="98"/>
      <c r="FGJ130" s="98"/>
      <c r="FGK130" s="98"/>
      <c r="FGL130" s="98"/>
      <c r="FGM130" s="98"/>
      <c r="FGN130" s="98"/>
      <c r="FGO130" s="98"/>
      <c r="FGP130" s="98"/>
      <c r="FGQ130" s="98"/>
      <c r="FGR130" s="98"/>
      <c r="FGS130" s="98"/>
      <c r="FGT130" s="98"/>
      <c r="FGU130" s="98"/>
      <c r="FGV130" s="98"/>
      <c r="FGW130" s="98"/>
      <c r="FGX130" s="98"/>
      <c r="FGY130" s="98"/>
      <c r="FGZ130" s="98"/>
      <c r="FHA130" s="98"/>
      <c r="FHB130" s="98"/>
      <c r="FHC130" s="98"/>
      <c r="FHD130" s="98"/>
      <c r="FHE130" s="98"/>
      <c r="FHF130" s="98"/>
      <c r="FHG130" s="98"/>
      <c r="FHH130" s="98"/>
      <c r="FHI130" s="98"/>
      <c r="FHJ130" s="98"/>
      <c r="FHK130" s="98"/>
      <c r="FHL130" s="98"/>
      <c r="FHM130" s="98"/>
      <c r="FHN130" s="98"/>
      <c r="FHO130" s="98"/>
      <c r="FHP130" s="98"/>
      <c r="FHQ130" s="98"/>
      <c r="FHR130" s="98"/>
      <c r="FHS130" s="98"/>
      <c r="FHT130" s="98"/>
      <c r="FHU130" s="98"/>
      <c r="FHV130" s="98"/>
      <c r="FHW130" s="98"/>
      <c r="FHX130" s="98"/>
      <c r="FHY130" s="98"/>
      <c r="FHZ130" s="98"/>
      <c r="FIA130" s="98"/>
      <c r="FIB130" s="98"/>
      <c r="FIC130" s="98"/>
      <c r="FID130" s="98"/>
      <c r="FIE130" s="98"/>
      <c r="FIF130" s="98"/>
      <c r="FIG130" s="98"/>
      <c r="FIH130" s="98"/>
      <c r="FII130" s="98"/>
      <c r="FIJ130" s="98"/>
      <c r="FIK130" s="98"/>
      <c r="FIL130" s="98"/>
      <c r="FIM130" s="98"/>
      <c r="FIN130" s="98"/>
      <c r="FIO130" s="98"/>
      <c r="FIP130" s="98"/>
      <c r="FIQ130" s="98"/>
      <c r="FIR130" s="98"/>
      <c r="FIS130" s="98"/>
      <c r="FIT130" s="98"/>
      <c r="FIU130" s="98"/>
      <c r="FIV130" s="98"/>
      <c r="FIW130" s="98"/>
      <c r="FIX130" s="98"/>
      <c r="FIY130" s="98"/>
      <c r="FIZ130" s="98"/>
      <c r="FJA130" s="98"/>
      <c r="FJB130" s="98"/>
      <c r="FJC130" s="98"/>
      <c r="FJD130" s="98"/>
      <c r="FJE130" s="98"/>
      <c r="FJF130" s="98"/>
      <c r="FJG130" s="98"/>
      <c r="FJH130" s="98"/>
      <c r="FJI130" s="98"/>
      <c r="FJJ130" s="98"/>
      <c r="FJK130" s="98"/>
      <c r="FJL130" s="98"/>
      <c r="FJM130" s="98"/>
      <c r="FJN130" s="98"/>
      <c r="FJO130" s="98"/>
      <c r="FJP130" s="98"/>
      <c r="FJQ130" s="98"/>
      <c r="FJR130" s="98"/>
      <c r="FJS130" s="98"/>
      <c r="FJT130" s="98"/>
      <c r="FJU130" s="98"/>
      <c r="FJV130" s="98"/>
      <c r="FJW130" s="98"/>
      <c r="FJX130" s="98"/>
      <c r="FJY130" s="98"/>
      <c r="FJZ130" s="98"/>
      <c r="FKA130" s="98"/>
      <c r="FKB130" s="98"/>
      <c r="FKC130" s="98"/>
      <c r="FKD130" s="98"/>
      <c r="FKE130" s="98"/>
      <c r="FKF130" s="98"/>
      <c r="FKG130" s="98"/>
      <c r="FKH130" s="98"/>
      <c r="FKI130" s="98"/>
      <c r="FKJ130" s="98"/>
      <c r="FKK130" s="98"/>
      <c r="FKL130" s="98"/>
      <c r="FKM130" s="98"/>
      <c r="FKN130" s="98"/>
      <c r="FKO130" s="98"/>
      <c r="FKP130" s="98"/>
      <c r="FKQ130" s="98"/>
      <c r="FKR130" s="98"/>
      <c r="FKS130" s="98"/>
      <c r="FKT130" s="98"/>
      <c r="FKU130" s="98"/>
      <c r="FKV130" s="98"/>
      <c r="FKW130" s="98"/>
      <c r="FKX130" s="98"/>
      <c r="FKY130" s="98"/>
      <c r="FKZ130" s="98"/>
      <c r="FLA130" s="98"/>
      <c r="FLB130" s="98"/>
      <c r="FLC130" s="98"/>
      <c r="FLD130" s="98"/>
      <c r="FLE130" s="98"/>
      <c r="FLF130" s="98"/>
      <c r="FLG130" s="98"/>
      <c r="FLH130" s="98"/>
      <c r="FLI130" s="98"/>
      <c r="FLJ130" s="98"/>
      <c r="FLK130" s="98"/>
      <c r="FLL130" s="98"/>
      <c r="FLM130" s="98"/>
      <c r="FLN130" s="98"/>
      <c r="FLO130" s="98"/>
      <c r="FLP130" s="98"/>
      <c r="FLQ130" s="98"/>
      <c r="FLR130" s="98"/>
      <c r="FLS130" s="98"/>
      <c r="FLT130" s="98"/>
      <c r="FLU130" s="98"/>
      <c r="FLV130" s="98"/>
      <c r="FLW130" s="98"/>
      <c r="FLX130" s="98"/>
      <c r="FLY130" s="98"/>
      <c r="FLZ130" s="98"/>
      <c r="FMA130" s="98"/>
      <c r="FMB130" s="98"/>
      <c r="FMC130" s="98"/>
      <c r="FMD130" s="98"/>
      <c r="FME130" s="98"/>
      <c r="FMF130" s="98"/>
      <c r="FMG130" s="98"/>
      <c r="FMH130" s="98"/>
      <c r="FMI130" s="98"/>
      <c r="FMJ130" s="98"/>
      <c r="FMK130" s="98"/>
      <c r="FML130" s="98"/>
      <c r="FMM130" s="98"/>
      <c r="FMN130" s="98"/>
      <c r="FMO130" s="98"/>
      <c r="FMP130" s="98"/>
      <c r="FMQ130" s="98"/>
      <c r="FMR130" s="98"/>
      <c r="FMS130" s="98"/>
      <c r="FMT130" s="98"/>
      <c r="FMU130" s="98"/>
      <c r="FMV130" s="98"/>
      <c r="FMW130" s="98"/>
      <c r="FMX130" s="98"/>
      <c r="FMY130" s="98"/>
      <c r="FMZ130" s="98"/>
      <c r="FNA130" s="98"/>
      <c r="FNB130" s="98"/>
      <c r="FNC130" s="98"/>
      <c r="FND130" s="98"/>
      <c r="FNE130" s="98"/>
      <c r="FNF130" s="98"/>
      <c r="FNG130" s="98"/>
      <c r="FNH130" s="98"/>
      <c r="FNI130" s="98"/>
      <c r="FNJ130" s="98"/>
      <c r="FNK130" s="98"/>
      <c r="FNL130" s="98"/>
      <c r="FNM130" s="98"/>
      <c r="FNN130" s="98"/>
      <c r="FNO130" s="98"/>
      <c r="FNP130" s="98"/>
      <c r="FNQ130" s="98"/>
      <c r="FNR130" s="98"/>
      <c r="FNS130" s="98"/>
      <c r="FNT130" s="98"/>
      <c r="FNU130" s="98"/>
      <c r="FNV130" s="98"/>
      <c r="FNW130" s="98"/>
      <c r="FNX130" s="98"/>
      <c r="FNY130" s="98"/>
      <c r="FNZ130" s="98"/>
      <c r="FOA130" s="98"/>
      <c r="FOB130" s="98"/>
      <c r="FOC130" s="98"/>
      <c r="FOD130" s="98"/>
      <c r="FOE130" s="98"/>
      <c r="FOF130" s="98"/>
      <c r="FOG130" s="98"/>
      <c r="FOH130" s="98"/>
      <c r="FOI130" s="98"/>
      <c r="FOJ130" s="98"/>
      <c r="FOK130" s="98"/>
      <c r="FOL130" s="98"/>
      <c r="FOM130" s="98"/>
      <c r="FON130" s="98"/>
      <c r="FOO130" s="98"/>
      <c r="FOP130" s="98"/>
      <c r="FOQ130" s="98"/>
      <c r="FOR130" s="98"/>
      <c r="FOS130" s="98"/>
      <c r="FOT130" s="98"/>
      <c r="FOU130" s="98"/>
      <c r="FOV130" s="98"/>
      <c r="FOW130" s="98"/>
      <c r="FOX130" s="98"/>
      <c r="FOY130" s="98"/>
      <c r="FOZ130" s="98"/>
      <c r="FPA130" s="98"/>
      <c r="FPB130" s="98"/>
      <c r="FPC130" s="98"/>
      <c r="FPD130" s="98"/>
      <c r="FPE130" s="98"/>
      <c r="FPF130" s="98"/>
      <c r="FPG130" s="98"/>
      <c r="FPH130" s="98"/>
      <c r="FPI130" s="98"/>
      <c r="FPJ130" s="98"/>
      <c r="FPK130" s="98"/>
      <c r="FPL130" s="98"/>
      <c r="FPM130" s="98"/>
      <c r="FPN130" s="98"/>
      <c r="FPO130" s="98"/>
      <c r="FPP130" s="98"/>
      <c r="FPQ130" s="98"/>
      <c r="FPR130" s="98"/>
      <c r="FPS130" s="98"/>
      <c r="FPT130" s="98"/>
      <c r="FPU130" s="98"/>
      <c r="FPV130" s="98"/>
      <c r="FPW130" s="98"/>
      <c r="FPX130" s="98"/>
      <c r="FPY130" s="98"/>
      <c r="FPZ130" s="98"/>
      <c r="FQA130" s="98"/>
      <c r="FQB130" s="98"/>
      <c r="FQC130" s="98"/>
      <c r="FQD130" s="98"/>
      <c r="FQE130" s="98"/>
      <c r="FQF130" s="98"/>
      <c r="FQG130" s="98"/>
      <c r="FQH130" s="98"/>
      <c r="FQI130" s="98"/>
      <c r="FQJ130" s="98"/>
      <c r="FQK130" s="98"/>
      <c r="FQL130" s="98"/>
      <c r="FQM130" s="98"/>
      <c r="FQN130" s="98"/>
      <c r="FQO130" s="98"/>
      <c r="FQP130" s="98"/>
      <c r="FQQ130" s="98"/>
      <c r="FQR130" s="98"/>
      <c r="FQS130" s="98"/>
      <c r="FQT130" s="98"/>
      <c r="FQU130" s="98"/>
      <c r="FQV130" s="98"/>
      <c r="FQW130" s="98"/>
      <c r="FQX130" s="98"/>
      <c r="FQY130" s="98"/>
      <c r="FQZ130" s="98"/>
      <c r="FRA130" s="98"/>
      <c r="FRB130" s="98"/>
      <c r="FRC130" s="98"/>
      <c r="FRD130" s="98"/>
      <c r="FRE130" s="98"/>
      <c r="FRF130" s="98"/>
      <c r="FRG130" s="98"/>
      <c r="FRH130" s="98"/>
      <c r="FRI130" s="98"/>
      <c r="FRJ130" s="98"/>
      <c r="FRK130" s="98"/>
      <c r="FRL130" s="98"/>
      <c r="FRM130" s="98"/>
      <c r="FRN130" s="98"/>
      <c r="FRO130" s="98"/>
      <c r="FRP130" s="98"/>
      <c r="FRQ130" s="98"/>
      <c r="FRR130" s="98"/>
      <c r="FRS130" s="98"/>
      <c r="FRT130" s="98"/>
      <c r="FRU130" s="98"/>
      <c r="FRV130" s="98"/>
      <c r="FRW130" s="98"/>
      <c r="FRX130" s="98"/>
      <c r="FRY130" s="98"/>
      <c r="FRZ130" s="98"/>
      <c r="FSA130" s="98"/>
      <c r="FSB130" s="98"/>
      <c r="FSC130" s="98"/>
      <c r="FSD130" s="98"/>
      <c r="FSE130" s="98"/>
      <c r="FSF130" s="98"/>
      <c r="FSG130" s="98"/>
      <c r="FSH130" s="98"/>
      <c r="FSI130" s="98"/>
      <c r="FSJ130" s="98"/>
      <c r="FSK130" s="98"/>
      <c r="FSL130" s="98"/>
      <c r="FSM130" s="98"/>
      <c r="FSN130" s="98"/>
      <c r="FSO130" s="98"/>
      <c r="FSP130" s="98"/>
      <c r="FSQ130" s="98"/>
      <c r="FSR130" s="98"/>
      <c r="FSS130" s="98"/>
      <c r="FST130" s="98"/>
      <c r="FSU130" s="98"/>
      <c r="FSV130" s="98"/>
      <c r="FSW130" s="98"/>
      <c r="FSX130" s="98"/>
      <c r="FSY130" s="98"/>
      <c r="FSZ130" s="98"/>
      <c r="FTA130" s="98"/>
      <c r="FTB130" s="98"/>
      <c r="FTC130" s="98"/>
      <c r="FTD130" s="98"/>
      <c r="FTE130" s="98"/>
      <c r="FTF130" s="98"/>
      <c r="FTG130" s="98"/>
      <c r="FTH130" s="98"/>
      <c r="FTI130" s="98"/>
      <c r="FTJ130" s="98"/>
      <c r="FTK130" s="98"/>
      <c r="FTL130" s="98"/>
      <c r="FTM130" s="98"/>
      <c r="FTN130" s="98"/>
      <c r="FTO130" s="98"/>
      <c r="FTP130" s="98"/>
      <c r="FTQ130" s="98"/>
      <c r="FTR130" s="98"/>
      <c r="FTS130" s="98"/>
      <c r="FTT130" s="98"/>
      <c r="FTU130" s="98"/>
      <c r="FTV130" s="98"/>
      <c r="FTW130" s="98"/>
      <c r="FTX130" s="98"/>
      <c r="FTY130" s="98"/>
      <c r="FTZ130" s="98"/>
      <c r="FUA130" s="98"/>
      <c r="FUB130" s="98"/>
      <c r="FUC130" s="98"/>
      <c r="FUD130" s="98"/>
      <c r="FUE130" s="98"/>
      <c r="FUF130" s="98"/>
      <c r="FUG130" s="98"/>
      <c r="FUH130" s="98"/>
      <c r="FUI130" s="98"/>
      <c r="FUJ130" s="98"/>
      <c r="FUK130" s="98"/>
      <c r="FUL130" s="98"/>
      <c r="FUM130" s="98"/>
      <c r="FUN130" s="98"/>
      <c r="FUO130" s="98"/>
      <c r="FUP130" s="98"/>
      <c r="FUQ130" s="98"/>
      <c r="FUR130" s="98"/>
      <c r="FUS130" s="98"/>
      <c r="FUT130" s="98"/>
      <c r="FUU130" s="98"/>
      <c r="FUV130" s="98"/>
      <c r="FUW130" s="98"/>
      <c r="FUX130" s="98"/>
      <c r="FUY130" s="98"/>
      <c r="FUZ130" s="98"/>
      <c r="FVA130" s="98"/>
      <c r="FVB130" s="98"/>
      <c r="FVC130" s="98"/>
      <c r="FVD130" s="98"/>
      <c r="FVE130" s="98"/>
      <c r="FVF130" s="98"/>
      <c r="FVG130" s="98"/>
      <c r="FVH130" s="98"/>
      <c r="FVI130" s="98"/>
      <c r="FVJ130" s="98"/>
      <c r="FVK130" s="98"/>
      <c r="FVL130" s="98"/>
      <c r="FVM130" s="98"/>
      <c r="FVN130" s="98"/>
      <c r="FVO130" s="98"/>
      <c r="FVP130" s="98"/>
      <c r="FVQ130" s="98"/>
      <c r="FVR130" s="98"/>
      <c r="FVS130" s="98"/>
      <c r="FVT130" s="98"/>
      <c r="FVU130" s="98"/>
      <c r="FVV130" s="98"/>
      <c r="FVW130" s="98"/>
      <c r="FVX130" s="98"/>
      <c r="FVY130" s="98"/>
      <c r="FVZ130" s="98"/>
      <c r="FWA130" s="98"/>
      <c r="FWB130" s="98"/>
      <c r="FWC130" s="98"/>
      <c r="FWD130" s="98"/>
      <c r="FWE130" s="98"/>
      <c r="FWF130" s="98"/>
      <c r="FWG130" s="98"/>
      <c r="FWH130" s="98"/>
      <c r="FWI130" s="98"/>
      <c r="FWJ130" s="98"/>
      <c r="FWK130" s="98"/>
      <c r="FWL130" s="98"/>
      <c r="FWM130" s="98"/>
      <c r="FWN130" s="98"/>
      <c r="FWO130" s="98"/>
      <c r="FWP130" s="98"/>
      <c r="FWQ130" s="98"/>
      <c r="FWR130" s="98"/>
      <c r="FWS130" s="98"/>
      <c r="FWT130" s="98"/>
      <c r="FWU130" s="98"/>
      <c r="FWV130" s="98"/>
      <c r="FWW130" s="98"/>
      <c r="FWX130" s="98"/>
      <c r="FWY130" s="98"/>
      <c r="FWZ130" s="98"/>
      <c r="FXA130" s="98"/>
      <c r="FXB130" s="98"/>
      <c r="FXC130" s="98"/>
      <c r="FXD130" s="98"/>
      <c r="FXE130" s="98"/>
      <c r="FXF130" s="98"/>
      <c r="FXG130" s="98"/>
      <c r="FXH130" s="98"/>
      <c r="FXI130" s="98"/>
      <c r="FXJ130" s="98"/>
      <c r="FXK130" s="98"/>
      <c r="FXL130" s="98"/>
      <c r="FXM130" s="98"/>
      <c r="FXN130" s="98"/>
      <c r="FXO130" s="98"/>
      <c r="FXP130" s="98"/>
      <c r="FXQ130" s="98"/>
      <c r="FXR130" s="98"/>
      <c r="FXS130" s="98"/>
      <c r="FXT130" s="98"/>
      <c r="FXU130" s="98"/>
      <c r="FXV130" s="98"/>
      <c r="FXW130" s="98"/>
      <c r="FXX130" s="98"/>
      <c r="FXY130" s="98"/>
      <c r="FXZ130" s="98"/>
      <c r="FYA130" s="98"/>
      <c r="FYB130" s="98"/>
      <c r="FYC130" s="98"/>
      <c r="FYD130" s="98"/>
      <c r="FYE130" s="98"/>
      <c r="FYF130" s="98"/>
      <c r="FYG130" s="98"/>
      <c r="FYH130" s="98"/>
      <c r="FYI130" s="98"/>
      <c r="FYJ130" s="98"/>
      <c r="FYK130" s="98"/>
      <c r="FYL130" s="98"/>
      <c r="FYM130" s="98"/>
      <c r="FYN130" s="98"/>
      <c r="FYO130" s="98"/>
      <c r="FYP130" s="98"/>
      <c r="FYQ130" s="98"/>
      <c r="FYR130" s="98"/>
      <c r="FYS130" s="98"/>
      <c r="FYT130" s="98"/>
      <c r="FYU130" s="98"/>
      <c r="FYV130" s="98"/>
      <c r="FYW130" s="98"/>
      <c r="FYX130" s="98"/>
      <c r="FYY130" s="98"/>
      <c r="FYZ130" s="98"/>
      <c r="FZA130" s="98"/>
      <c r="FZB130" s="98"/>
      <c r="FZC130" s="98"/>
      <c r="FZD130" s="98"/>
      <c r="FZE130" s="98"/>
      <c r="FZF130" s="98"/>
      <c r="FZG130" s="98"/>
      <c r="FZH130" s="98"/>
      <c r="FZI130" s="98"/>
      <c r="FZJ130" s="98"/>
      <c r="FZK130" s="98"/>
      <c r="FZL130" s="98"/>
      <c r="FZM130" s="98"/>
      <c r="FZN130" s="98"/>
      <c r="FZO130" s="98"/>
      <c r="FZP130" s="98"/>
      <c r="FZQ130" s="98"/>
      <c r="FZR130" s="98"/>
      <c r="FZS130" s="98"/>
      <c r="FZT130" s="98"/>
      <c r="FZU130" s="98"/>
      <c r="FZV130" s="98"/>
      <c r="FZW130" s="98"/>
      <c r="FZX130" s="98"/>
      <c r="FZY130" s="98"/>
      <c r="FZZ130" s="98"/>
      <c r="GAA130" s="98"/>
      <c r="GAB130" s="98"/>
      <c r="GAC130" s="98"/>
      <c r="GAD130" s="98"/>
      <c r="GAE130" s="98"/>
      <c r="GAF130" s="98"/>
      <c r="GAG130" s="98"/>
      <c r="GAH130" s="98"/>
      <c r="GAI130" s="98"/>
      <c r="GAJ130" s="98"/>
      <c r="GAK130" s="98"/>
      <c r="GAL130" s="98"/>
      <c r="GAM130" s="98"/>
      <c r="GAN130" s="98"/>
      <c r="GAO130" s="98"/>
      <c r="GAP130" s="98"/>
      <c r="GAQ130" s="98"/>
      <c r="GAR130" s="98"/>
      <c r="GAS130" s="98"/>
      <c r="GAT130" s="98"/>
      <c r="GAU130" s="98"/>
      <c r="GAV130" s="98"/>
      <c r="GAW130" s="98"/>
      <c r="GAX130" s="98"/>
      <c r="GAY130" s="98"/>
      <c r="GAZ130" s="98"/>
      <c r="GBA130" s="98"/>
      <c r="GBB130" s="98"/>
      <c r="GBC130" s="98"/>
      <c r="GBD130" s="98"/>
      <c r="GBE130" s="98"/>
      <c r="GBF130" s="98"/>
      <c r="GBG130" s="98"/>
      <c r="GBH130" s="98"/>
      <c r="GBI130" s="98"/>
      <c r="GBJ130" s="98"/>
      <c r="GBK130" s="98"/>
      <c r="GBL130" s="98"/>
      <c r="GBM130" s="98"/>
      <c r="GBN130" s="98"/>
      <c r="GBO130" s="98"/>
      <c r="GBP130" s="98"/>
      <c r="GBQ130" s="98"/>
      <c r="GBR130" s="98"/>
      <c r="GBS130" s="98"/>
      <c r="GBT130" s="98"/>
      <c r="GBU130" s="98"/>
      <c r="GBV130" s="98"/>
      <c r="GBW130" s="98"/>
      <c r="GBX130" s="98"/>
      <c r="GBY130" s="98"/>
      <c r="GBZ130" s="98"/>
      <c r="GCA130" s="98"/>
      <c r="GCB130" s="98"/>
      <c r="GCC130" s="98"/>
      <c r="GCD130" s="98"/>
      <c r="GCE130" s="98"/>
      <c r="GCF130" s="98"/>
      <c r="GCG130" s="98"/>
      <c r="GCH130" s="98"/>
      <c r="GCI130" s="98"/>
      <c r="GCJ130" s="98"/>
      <c r="GCK130" s="98"/>
      <c r="GCL130" s="98"/>
      <c r="GCM130" s="98"/>
      <c r="GCN130" s="98"/>
      <c r="GCO130" s="98"/>
      <c r="GCP130" s="98"/>
      <c r="GCQ130" s="98"/>
      <c r="GCR130" s="98"/>
      <c r="GCS130" s="98"/>
      <c r="GCT130" s="98"/>
      <c r="GCU130" s="98"/>
      <c r="GCV130" s="98"/>
      <c r="GCW130" s="98"/>
      <c r="GCX130" s="98"/>
      <c r="GCY130" s="98"/>
      <c r="GCZ130" s="98"/>
      <c r="GDA130" s="98"/>
      <c r="GDB130" s="98"/>
      <c r="GDC130" s="98"/>
      <c r="GDD130" s="98"/>
      <c r="GDE130" s="98"/>
      <c r="GDF130" s="98"/>
      <c r="GDG130" s="98"/>
      <c r="GDH130" s="98"/>
      <c r="GDI130" s="98"/>
      <c r="GDJ130" s="98"/>
      <c r="GDK130" s="98"/>
      <c r="GDL130" s="98"/>
      <c r="GDM130" s="98"/>
      <c r="GDN130" s="98"/>
      <c r="GDO130" s="98"/>
      <c r="GDP130" s="98"/>
      <c r="GDQ130" s="98"/>
      <c r="GDR130" s="98"/>
      <c r="GDS130" s="98"/>
      <c r="GDT130" s="98"/>
      <c r="GDU130" s="98"/>
      <c r="GDV130" s="98"/>
      <c r="GDW130" s="98"/>
      <c r="GDX130" s="98"/>
      <c r="GDY130" s="98"/>
      <c r="GDZ130" s="98"/>
      <c r="GEA130" s="98"/>
      <c r="GEB130" s="98"/>
      <c r="GEC130" s="98"/>
      <c r="GED130" s="98"/>
      <c r="GEE130" s="98"/>
      <c r="GEF130" s="98"/>
      <c r="GEG130" s="98"/>
      <c r="GEH130" s="98"/>
      <c r="GEI130" s="98"/>
      <c r="GEJ130" s="98"/>
      <c r="GEK130" s="98"/>
      <c r="GEL130" s="98"/>
      <c r="GEM130" s="98"/>
      <c r="GEN130" s="98"/>
      <c r="GEO130" s="98"/>
      <c r="GEP130" s="98"/>
      <c r="GEQ130" s="98"/>
      <c r="GER130" s="98"/>
      <c r="GES130" s="98"/>
      <c r="GET130" s="98"/>
      <c r="GEU130" s="98"/>
      <c r="GEV130" s="98"/>
      <c r="GEW130" s="98"/>
      <c r="GEX130" s="98"/>
      <c r="GEY130" s="98"/>
      <c r="GEZ130" s="98"/>
      <c r="GFA130" s="98"/>
      <c r="GFB130" s="98"/>
      <c r="GFC130" s="98"/>
      <c r="GFD130" s="98"/>
      <c r="GFE130" s="98"/>
      <c r="GFF130" s="98"/>
      <c r="GFG130" s="98"/>
      <c r="GFH130" s="98"/>
      <c r="GFI130" s="98"/>
      <c r="GFJ130" s="98"/>
      <c r="GFK130" s="98"/>
      <c r="GFL130" s="98"/>
      <c r="GFM130" s="98"/>
      <c r="GFN130" s="98"/>
      <c r="GFO130" s="98"/>
      <c r="GFP130" s="98"/>
      <c r="GFQ130" s="98"/>
      <c r="GFR130" s="98"/>
      <c r="GFS130" s="98"/>
      <c r="GFT130" s="98"/>
      <c r="GFU130" s="98"/>
      <c r="GFV130" s="98"/>
      <c r="GFW130" s="98"/>
      <c r="GFX130" s="98"/>
      <c r="GFY130" s="98"/>
      <c r="GFZ130" s="98"/>
      <c r="GGA130" s="98"/>
      <c r="GGB130" s="98"/>
      <c r="GGC130" s="98"/>
      <c r="GGD130" s="98"/>
      <c r="GGE130" s="98"/>
      <c r="GGF130" s="98"/>
      <c r="GGG130" s="98"/>
      <c r="GGH130" s="98"/>
      <c r="GGI130" s="98"/>
      <c r="GGJ130" s="98"/>
      <c r="GGK130" s="98"/>
      <c r="GGL130" s="98"/>
      <c r="GGM130" s="98"/>
      <c r="GGN130" s="98"/>
      <c r="GGO130" s="98"/>
      <c r="GGP130" s="98"/>
      <c r="GGQ130" s="98"/>
      <c r="GGR130" s="98"/>
      <c r="GGS130" s="98"/>
      <c r="GGT130" s="98"/>
      <c r="GGU130" s="98"/>
      <c r="GGV130" s="98"/>
      <c r="GGW130" s="98"/>
      <c r="GGX130" s="98"/>
      <c r="GGY130" s="98"/>
      <c r="GGZ130" s="98"/>
      <c r="GHA130" s="98"/>
      <c r="GHB130" s="98"/>
      <c r="GHC130" s="98"/>
      <c r="GHD130" s="98"/>
      <c r="GHE130" s="98"/>
      <c r="GHF130" s="98"/>
      <c r="GHG130" s="98"/>
      <c r="GHH130" s="98"/>
      <c r="GHI130" s="98"/>
      <c r="GHJ130" s="98"/>
      <c r="GHK130" s="98"/>
      <c r="GHL130" s="98"/>
      <c r="GHM130" s="98"/>
      <c r="GHN130" s="98"/>
      <c r="GHO130" s="98"/>
      <c r="GHP130" s="98"/>
      <c r="GHQ130" s="98"/>
      <c r="GHR130" s="98"/>
      <c r="GHS130" s="98"/>
      <c r="GHT130" s="98"/>
      <c r="GHU130" s="98"/>
      <c r="GHV130" s="98"/>
      <c r="GHW130" s="98"/>
      <c r="GHX130" s="98"/>
      <c r="GHY130" s="98"/>
      <c r="GHZ130" s="98"/>
      <c r="GIA130" s="98"/>
      <c r="GIB130" s="98"/>
      <c r="GIC130" s="98"/>
      <c r="GID130" s="98"/>
      <c r="GIE130" s="98"/>
      <c r="GIF130" s="98"/>
      <c r="GIG130" s="98"/>
      <c r="GIH130" s="98"/>
      <c r="GII130" s="98"/>
      <c r="GIJ130" s="98"/>
      <c r="GIK130" s="98"/>
      <c r="GIL130" s="98"/>
      <c r="GIM130" s="98"/>
      <c r="GIN130" s="98"/>
      <c r="GIO130" s="98"/>
      <c r="GIP130" s="98"/>
      <c r="GIQ130" s="98"/>
      <c r="GIR130" s="98"/>
      <c r="GIS130" s="98"/>
      <c r="GIT130" s="98"/>
      <c r="GIU130" s="98"/>
      <c r="GIV130" s="98"/>
      <c r="GIW130" s="98"/>
      <c r="GIX130" s="98"/>
      <c r="GIY130" s="98"/>
      <c r="GIZ130" s="98"/>
      <c r="GJA130" s="98"/>
      <c r="GJB130" s="98"/>
      <c r="GJC130" s="98"/>
      <c r="GJD130" s="98"/>
      <c r="GJE130" s="98"/>
      <c r="GJF130" s="98"/>
      <c r="GJG130" s="98"/>
      <c r="GJH130" s="98"/>
      <c r="GJI130" s="98"/>
      <c r="GJJ130" s="98"/>
      <c r="GJK130" s="98"/>
      <c r="GJL130" s="98"/>
      <c r="GJM130" s="98"/>
      <c r="GJN130" s="98"/>
      <c r="GJO130" s="98"/>
      <c r="GJP130" s="98"/>
      <c r="GJQ130" s="98"/>
      <c r="GJR130" s="98"/>
      <c r="GJS130" s="98"/>
      <c r="GJT130" s="98"/>
      <c r="GJU130" s="98"/>
      <c r="GJV130" s="98"/>
      <c r="GJW130" s="98"/>
      <c r="GJX130" s="98"/>
      <c r="GJY130" s="98"/>
      <c r="GJZ130" s="98"/>
      <c r="GKA130" s="98"/>
      <c r="GKB130" s="98"/>
      <c r="GKC130" s="98"/>
      <c r="GKD130" s="98"/>
      <c r="GKE130" s="98"/>
      <c r="GKF130" s="98"/>
      <c r="GKG130" s="98"/>
      <c r="GKH130" s="98"/>
      <c r="GKI130" s="98"/>
      <c r="GKJ130" s="98"/>
      <c r="GKK130" s="98"/>
      <c r="GKL130" s="98"/>
      <c r="GKM130" s="98"/>
      <c r="GKN130" s="98"/>
      <c r="GKO130" s="98"/>
      <c r="GKP130" s="98"/>
      <c r="GKQ130" s="98"/>
      <c r="GKR130" s="98"/>
      <c r="GKS130" s="98"/>
      <c r="GKT130" s="98"/>
      <c r="GKU130" s="98"/>
      <c r="GKV130" s="98"/>
      <c r="GKW130" s="98"/>
      <c r="GKX130" s="98"/>
      <c r="GKY130" s="98"/>
      <c r="GKZ130" s="98"/>
      <c r="GLA130" s="98"/>
      <c r="GLB130" s="98"/>
      <c r="GLC130" s="98"/>
      <c r="GLD130" s="98"/>
      <c r="GLE130" s="98"/>
      <c r="GLF130" s="98"/>
      <c r="GLG130" s="98"/>
      <c r="GLH130" s="98"/>
      <c r="GLI130" s="98"/>
      <c r="GLJ130" s="98"/>
      <c r="GLK130" s="98"/>
      <c r="GLL130" s="98"/>
      <c r="GLM130" s="98"/>
      <c r="GLN130" s="98"/>
      <c r="GLO130" s="98"/>
      <c r="GLP130" s="98"/>
      <c r="GLQ130" s="98"/>
      <c r="GLR130" s="98"/>
      <c r="GLS130" s="98"/>
      <c r="GLT130" s="98"/>
      <c r="GLU130" s="98"/>
      <c r="GLV130" s="98"/>
      <c r="GLW130" s="98"/>
      <c r="GLX130" s="98"/>
      <c r="GLY130" s="98"/>
      <c r="GLZ130" s="98"/>
      <c r="GMA130" s="98"/>
      <c r="GMB130" s="98"/>
      <c r="GMC130" s="98"/>
      <c r="GMD130" s="98"/>
      <c r="GME130" s="98"/>
      <c r="GMF130" s="98"/>
      <c r="GMG130" s="98"/>
      <c r="GMH130" s="98"/>
      <c r="GMI130" s="98"/>
      <c r="GMJ130" s="98"/>
      <c r="GMK130" s="98"/>
      <c r="GML130" s="98"/>
      <c r="GMM130" s="98"/>
      <c r="GMN130" s="98"/>
      <c r="GMO130" s="98"/>
      <c r="GMP130" s="98"/>
      <c r="GMQ130" s="98"/>
      <c r="GMR130" s="98"/>
      <c r="GMS130" s="98"/>
      <c r="GMT130" s="98"/>
      <c r="GMU130" s="98"/>
      <c r="GMV130" s="98"/>
      <c r="GMW130" s="98"/>
      <c r="GMX130" s="98"/>
      <c r="GMY130" s="98"/>
      <c r="GMZ130" s="98"/>
      <c r="GNA130" s="98"/>
      <c r="GNB130" s="98"/>
      <c r="GNC130" s="98"/>
      <c r="GND130" s="98"/>
      <c r="GNE130" s="98"/>
      <c r="GNF130" s="98"/>
      <c r="GNG130" s="98"/>
      <c r="GNH130" s="98"/>
      <c r="GNI130" s="98"/>
      <c r="GNJ130" s="98"/>
      <c r="GNK130" s="98"/>
      <c r="GNL130" s="98"/>
      <c r="GNM130" s="98"/>
      <c r="GNN130" s="98"/>
      <c r="GNO130" s="98"/>
      <c r="GNP130" s="98"/>
      <c r="GNQ130" s="98"/>
      <c r="GNR130" s="98"/>
      <c r="GNS130" s="98"/>
      <c r="GNT130" s="98"/>
      <c r="GNU130" s="98"/>
      <c r="GNV130" s="98"/>
      <c r="GNW130" s="98"/>
      <c r="GNX130" s="98"/>
      <c r="GNY130" s="98"/>
      <c r="GNZ130" s="98"/>
      <c r="GOA130" s="98"/>
      <c r="GOB130" s="98"/>
      <c r="GOC130" s="98"/>
      <c r="GOD130" s="98"/>
      <c r="GOE130" s="98"/>
      <c r="GOF130" s="98"/>
      <c r="GOG130" s="98"/>
      <c r="GOH130" s="98"/>
      <c r="GOI130" s="98"/>
      <c r="GOJ130" s="98"/>
      <c r="GOK130" s="98"/>
      <c r="GOL130" s="98"/>
      <c r="GOM130" s="98"/>
      <c r="GON130" s="98"/>
      <c r="GOO130" s="98"/>
      <c r="GOP130" s="98"/>
      <c r="GOQ130" s="98"/>
      <c r="GOR130" s="98"/>
      <c r="GOS130" s="98"/>
      <c r="GOT130" s="98"/>
      <c r="GOU130" s="98"/>
      <c r="GOV130" s="98"/>
      <c r="GOW130" s="98"/>
      <c r="GOX130" s="98"/>
      <c r="GOY130" s="98"/>
      <c r="GOZ130" s="98"/>
      <c r="GPA130" s="98"/>
      <c r="GPB130" s="98"/>
      <c r="GPC130" s="98"/>
      <c r="GPD130" s="98"/>
      <c r="GPE130" s="98"/>
      <c r="GPF130" s="98"/>
      <c r="GPG130" s="98"/>
      <c r="GPH130" s="98"/>
      <c r="GPI130" s="98"/>
      <c r="GPJ130" s="98"/>
      <c r="GPK130" s="98"/>
      <c r="GPL130" s="98"/>
      <c r="GPM130" s="98"/>
      <c r="GPN130" s="98"/>
      <c r="GPO130" s="98"/>
      <c r="GPP130" s="98"/>
      <c r="GPQ130" s="98"/>
      <c r="GPR130" s="98"/>
      <c r="GPS130" s="98"/>
      <c r="GPT130" s="98"/>
      <c r="GPU130" s="98"/>
      <c r="GPV130" s="98"/>
      <c r="GPW130" s="98"/>
      <c r="GPX130" s="98"/>
      <c r="GPY130" s="98"/>
      <c r="GPZ130" s="98"/>
      <c r="GQA130" s="98"/>
      <c r="GQB130" s="98"/>
      <c r="GQC130" s="98"/>
      <c r="GQD130" s="98"/>
      <c r="GQE130" s="98"/>
      <c r="GQF130" s="98"/>
      <c r="GQG130" s="98"/>
      <c r="GQH130" s="98"/>
      <c r="GQI130" s="98"/>
      <c r="GQJ130" s="98"/>
      <c r="GQK130" s="98"/>
      <c r="GQL130" s="98"/>
      <c r="GQM130" s="98"/>
      <c r="GQN130" s="98"/>
      <c r="GQO130" s="98"/>
      <c r="GQP130" s="98"/>
      <c r="GQQ130" s="98"/>
      <c r="GQR130" s="98"/>
      <c r="GQS130" s="98"/>
      <c r="GQT130" s="98"/>
      <c r="GQU130" s="98"/>
      <c r="GQV130" s="98"/>
      <c r="GQW130" s="98"/>
      <c r="GQX130" s="98"/>
      <c r="GQY130" s="98"/>
      <c r="GQZ130" s="98"/>
      <c r="GRA130" s="98"/>
      <c r="GRB130" s="98"/>
      <c r="GRC130" s="98"/>
      <c r="GRD130" s="98"/>
      <c r="GRE130" s="98"/>
      <c r="GRF130" s="98"/>
      <c r="GRG130" s="98"/>
      <c r="GRH130" s="98"/>
      <c r="GRI130" s="98"/>
      <c r="GRJ130" s="98"/>
      <c r="GRK130" s="98"/>
      <c r="GRL130" s="98"/>
      <c r="GRM130" s="98"/>
      <c r="GRN130" s="98"/>
      <c r="GRO130" s="98"/>
      <c r="GRP130" s="98"/>
      <c r="GRQ130" s="98"/>
      <c r="GRR130" s="98"/>
      <c r="GRS130" s="98"/>
      <c r="GRT130" s="98"/>
      <c r="GRU130" s="98"/>
      <c r="GRV130" s="98"/>
      <c r="GRW130" s="98"/>
      <c r="GRX130" s="98"/>
      <c r="GRY130" s="98"/>
      <c r="GRZ130" s="98"/>
      <c r="GSA130" s="98"/>
      <c r="GSB130" s="98"/>
      <c r="GSC130" s="98"/>
      <c r="GSD130" s="98"/>
      <c r="GSE130" s="98"/>
      <c r="GSF130" s="98"/>
      <c r="GSG130" s="98"/>
      <c r="GSH130" s="98"/>
      <c r="GSI130" s="98"/>
      <c r="GSJ130" s="98"/>
      <c r="GSK130" s="98"/>
      <c r="GSL130" s="98"/>
      <c r="GSM130" s="98"/>
      <c r="GSN130" s="98"/>
      <c r="GSO130" s="98"/>
      <c r="GSP130" s="98"/>
      <c r="GSQ130" s="98"/>
      <c r="GSR130" s="98"/>
      <c r="GSS130" s="98"/>
      <c r="GST130" s="98"/>
      <c r="GSU130" s="98"/>
      <c r="GSV130" s="98"/>
      <c r="GSW130" s="98"/>
      <c r="GSX130" s="98"/>
      <c r="GSY130" s="98"/>
      <c r="GSZ130" s="98"/>
      <c r="GTA130" s="98"/>
      <c r="GTB130" s="98"/>
      <c r="GTC130" s="98"/>
      <c r="GTD130" s="98"/>
      <c r="GTE130" s="98"/>
      <c r="GTF130" s="98"/>
      <c r="GTG130" s="98"/>
      <c r="GTH130" s="98"/>
      <c r="GTI130" s="98"/>
      <c r="GTJ130" s="98"/>
      <c r="GTK130" s="98"/>
      <c r="GTL130" s="98"/>
      <c r="GTM130" s="98"/>
      <c r="GTN130" s="98"/>
      <c r="GTO130" s="98"/>
      <c r="GTP130" s="98"/>
      <c r="GTQ130" s="98"/>
      <c r="GTR130" s="98"/>
      <c r="GTS130" s="98"/>
      <c r="GTT130" s="98"/>
      <c r="GTU130" s="98"/>
      <c r="GTV130" s="98"/>
      <c r="GTW130" s="98"/>
      <c r="GTX130" s="98"/>
      <c r="GTY130" s="98"/>
      <c r="GTZ130" s="98"/>
      <c r="GUA130" s="98"/>
      <c r="GUB130" s="98"/>
      <c r="GUC130" s="98"/>
      <c r="GUD130" s="98"/>
      <c r="GUE130" s="98"/>
      <c r="GUF130" s="98"/>
      <c r="GUG130" s="98"/>
      <c r="GUH130" s="98"/>
      <c r="GUI130" s="98"/>
      <c r="GUJ130" s="98"/>
      <c r="GUK130" s="98"/>
      <c r="GUL130" s="98"/>
      <c r="GUM130" s="98"/>
      <c r="GUN130" s="98"/>
      <c r="GUO130" s="98"/>
      <c r="GUP130" s="98"/>
      <c r="GUQ130" s="98"/>
      <c r="GUR130" s="98"/>
      <c r="GUS130" s="98"/>
      <c r="GUT130" s="98"/>
      <c r="GUU130" s="98"/>
      <c r="GUV130" s="98"/>
      <c r="GUW130" s="98"/>
      <c r="GUX130" s="98"/>
      <c r="GUY130" s="98"/>
      <c r="GUZ130" s="98"/>
      <c r="GVA130" s="98"/>
      <c r="GVB130" s="98"/>
      <c r="GVC130" s="98"/>
      <c r="GVD130" s="98"/>
      <c r="GVE130" s="98"/>
      <c r="GVF130" s="98"/>
      <c r="GVG130" s="98"/>
      <c r="GVH130" s="98"/>
      <c r="GVI130" s="98"/>
      <c r="GVJ130" s="98"/>
      <c r="GVK130" s="98"/>
      <c r="GVL130" s="98"/>
      <c r="GVM130" s="98"/>
      <c r="GVN130" s="98"/>
      <c r="GVO130" s="98"/>
      <c r="GVP130" s="98"/>
      <c r="GVQ130" s="98"/>
      <c r="GVR130" s="98"/>
      <c r="GVS130" s="98"/>
      <c r="GVT130" s="98"/>
      <c r="GVU130" s="98"/>
      <c r="GVV130" s="98"/>
      <c r="GVW130" s="98"/>
      <c r="GVX130" s="98"/>
      <c r="GVY130" s="98"/>
      <c r="GVZ130" s="98"/>
      <c r="GWA130" s="98"/>
      <c r="GWB130" s="98"/>
      <c r="GWC130" s="98"/>
      <c r="GWD130" s="98"/>
      <c r="GWE130" s="98"/>
      <c r="GWF130" s="98"/>
      <c r="GWG130" s="98"/>
      <c r="GWH130" s="98"/>
      <c r="GWI130" s="98"/>
      <c r="GWJ130" s="98"/>
      <c r="GWK130" s="98"/>
      <c r="GWL130" s="98"/>
      <c r="GWM130" s="98"/>
      <c r="GWN130" s="98"/>
      <c r="GWO130" s="98"/>
      <c r="GWP130" s="98"/>
      <c r="GWQ130" s="98"/>
      <c r="GWR130" s="98"/>
      <c r="GWS130" s="98"/>
      <c r="GWT130" s="98"/>
      <c r="GWU130" s="98"/>
      <c r="GWV130" s="98"/>
      <c r="GWW130" s="98"/>
      <c r="GWX130" s="98"/>
      <c r="GWY130" s="98"/>
      <c r="GWZ130" s="98"/>
      <c r="GXA130" s="98"/>
      <c r="GXB130" s="98"/>
      <c r="GXC130" s="98"/>
      <c r="GXD130" s="98"/>
      <c r="GXE130" s="98"/>
      <c r="GXF130" s="98"/>
      <c r="GXG130" s="98"/>
      <c r="GXH130" s="98"/>
      <c r="GXI130" s="98"/>
      <c r="GXJ130" s="98"/>
      <c r="GXK130" s="98"/>
      <c r="GXL130" s="98"/>
      <c r="GXM130" s="98"/>
      <c r="GXN130" s="98"/>
      <c r="GXO130" s="98"/>
      <c r="GXP130" s="98"/>
      <c r="GXQ130" s="98"/>
      <c r="GXR130" s="98"/>
      <c r="GXS130" s="98"/>
      <c r="GXT130" s="98"/>
      <c r="GXU130" s="98"/>
      <c r="GXV130" s="98"/>
      <c r="GXW130" s="98"/>
      <c r="GXX130" s="98"/>
      <c r="GXY130" s="98"/>
      <c r="GXZ130" s="98"/>
      <c r="GYA130" s="98"/>
      <c r="GYB130" s="98"/>
      <c r="GYC130" s="98"/>
      <c r="GYD130" s="98"/>
      <c r="GYE130" s="98"/>
      <c r="GYF130" s="98"/>
      <c r="GYG130" s="98"/>
      <c r="GYH130" s="98"/>
      <c r="GYI130" s="98"/>
      <c r="GYJ130" s="98"/>
      <c r="GYK130" s="98"/>
      <c r="GYL130" s="98"/>
      <c r="GYM130" s="98"/>
      <c r="GYN130" s="98"/>
      <c r="GYO130" s="98"/>
      <c r="GYP130" s="98"/>
      <c r="GYQ130" s="98"/>
      <c r="GYR130" s="98"/>
      <c r="GYS130" s="98"/>
      <c r="GYT130" s="98"/>
      <c r="GYU130" s="98"/>
      <c r="GYV130" s="98"/>
      <c r="GYW130" s="98"/>
      <c r="GYX130" s="98"/>
      <c r="GYY130" s="98"/>
      <c r="GYZ130" s="98"/>
      <c r="GZA130" s="98"/>
      <c r="GZB130" s="98"/>
      <c r="GZC130" s="98"/>
      <c r="GZD130" s="98"/>
      <c r="GZE130" s="98"/>
      <c r="GZF130" s="98"/>
      <c r="GZG130" s="98"/>
      <c r="GZH130" s="98"/>
      <c r="GZI130" s="98"/>
      <c r="GZJ130" s="98"/>
      <c r="GZK130" s="98"/>
      <c r="GZL130" s="98"/>
      <c r="GZM130" s="98"/>
      <c r="GZN130" s="98"/>
      <c r="GZO130" s="98"/>
      <c r="GZP130" s="98"/>
      <c r="GZQ130" s="98"/>
      <c r="GZR130" s="98"/>
      <c r="GZS130" s="98"/>
      <c r="GZT130" s="98"/>
      <c r="GZU130" s="98"/>
      <c r="GZV130" s="98"/>
      <c r="GZW130" s="98"/>
      <c r="GZX130" s="98"/>
      <c r="GZY130" s="98"/>
      <c r="GZZ130" s="98"/>
      <c r="HAA130" s="98"/>
      <c r="HAB130" s="98"/>
      <c r="HAC130" s="98"/>
      <c r="HAD130" s="98"/>
      <c r="HAE130" s="98"/>
      <c r="HAF130" s="98"/>
      <c r="HAG130" s="98"/>
      <c r="HAH130" s="98"/>
      <c r="HAI130" s="98"/>
      <c r="HAJ130" s="98"/>
      <c r="HAK130" s="98"/>
      <c r="HAL130" s="98"/>
      <c r="HAM130" s="98"/>
      <c r="HAN130" s="98"/>
      <c r="HAO130" s="98"/>
      <c r="HAP130" s="98"/>
      <c r="HAQ130" s="98"/>
      <c r="HAR130" s="98"/>
      <c r="HAS130" s="98"/>
      <c r="HAT130" s="98"/>
      <c r="HAU130" s="98"/>
      <c r="HAV130" s="98"/>
      <c r="HAW130" s="98"/>
      <c r="HAX130" s="98"/>
      <c r="HAY130" s="98"/>
      <c r="HAZ130" s="98"/>
      <c r="HBA130" s="98"/>
      <c r="HBB130" s="98"/>
      <c r="HBC130" s="98"/>
      <c r="HBD130" s="98"/>
      <c r="HBE130" s="98"/>
      <c r="HBF130" s="98"/>
      <c r="HBG130" s="98"/>
      <c r="HBH130" s="98"/>
      <c r="HBI130" s="98"/>
      <c r="HBJ130" s="98"/>
      <c r="HBK130" s="98"/>
      <c r="HBL130" s="98"/>
      <c r="HBM130" s="98"/>
      <c r="HBN130" s="98"/>
      <c r="HBO130" s="98"/>
      <c r="HBP130" s="98"/>
      <c r="HBQ130" s="98"/>
      <c r="HBR130" s="98"/>
      <c r="HBS130" s="98"/>
      <c r="HBT130" s="98"/>
      <c r="HBU130" s="98"/>
      <c r="HBV130" s="98"/>
      <c r="HBW130" s="98"/>
      <c r="HBX130" s="98"/>
      <c r="HBY130" s="98"/>
      <c r="HBZ130" s="98"/>
      <c r="HCA130" s="98"/>
      <c r="HCB130" s="98"/>
      <c r="HCC130" s="98"/>
      <c r="HCD130" s="98"/>
      <c r="HCE130" s="98"/>
      <c r="HCF130" s="98"/>
      <c r="HCG130" s="98"/>
      <c r="HCH130" s="98"/>
      <c r="HCI130" s="98"/>
      <c r="HCJ130" s="98"/>
      <c r="HCK130" s="98"/>
      <c r="HCL130" s="98"/>
      <c r="HCM130" s="98"/>
      <c r="HCN130" s="98"/>
      <c r="HCO130" s="98"/>
      <c r="HCP130" s="98"/>
      <c r="HCQ130" s="98"/>
      <c r="HCR130" s="98"/>
      <c r="HCS130" s="98"/>
      <c r="HCT130" s="98"/>
      <c r="HCU130" s="98"/>
      <c r="HCV130" s="98"/>
      <c r="HCW130" s="98"/>
      <c r="HCX130" s="98"/>
      <c r="HCY130" s="98"/>
      <c r="HCZ130" s="98"/>
      <c r="HDA130" s="98"/>
      <c r="HDB130" s="98"/>
      <c r="HDC130" s="98"/>
      <c r="HDD130" s="98"/>
      <c r="HDE130" s="98"/>
      <c r="HDF130" s="98"/>
      <c r="HDG130" s="98"/>
      <c r="HDH130" s="98"/>
      <c r="HDI130" s="98"/>
      <c r="HDJ130" s="98"/>
      <c r="HDK130" s="98"/>
      <c r="HDL130" s="98"/>
      <c r="HDM130" s="98"/>
      <c r="HDN130" s="98"/>
      <c r="HDO130" s="98"/>
      <c r="HDP130" s="98"/>
      <c r="HDQ130" s="98"/>
      <c r="HDR130" s="98"/>
      <c r="HDS130" s="98"/>
      <c r="HDT130" s="98"/>
      <c r="HDU130" s="98"/>
      <c r="HDV130" s="98"/>
      <c r="HDW130" s="98"/>
      <c r="HDX130" s="98"/>
      <c r="HDY130" s="98"/>
      <c r="HDZ130" s="98"/>
      <c r="HEA130" s="98"/>
      <c r="HEB130" s="98"/>
      <c r="HEC130" s="98"/>
      <c r="HED130" s="98"/>
      <c r="HEE130" s="98"/>
      <c r="HEF130" s="98"/>
      <c r="HEG130" s="98"/>
      <c r="HEH130" s="98"/>
      <c r="HEI130" s="98"/>
      <c r="HEJ130" s="98"/>
      <c r="HEK130" s="98"/>
      <c r="HEL130" s="98"/>
      <c r="HEM130" s="98"/>
      <c r="HEN130" s="98"/>
      <c r="HEO130" s="98"/>
      <c r="HEP130" s="98"/>
      <c r="HEQ130" s="98"/>
      <c r="HER130" s="98"/>
      <c r="HES130" s="98"/>
      <c r="HET130" s="98"/>
      <c r="HEU130" s="98"/>
      <c r="HEV130" s="98"/>
      <c r="HEW130" s="98"/>
      <c r="HEX130" s="98"/>
      <c r="HEY130" s="98"/>
      <c r="HEZ130" s="98"/>
      <c r="HFA130" s="98"/>
      <c r="HFB130" s="98"/>
      <c r="HFC130" s="98"/>
      <c r="HFD130" s="98"/>
      <c r="HFE130" s="98"/>
      <c r="HFF130" s="98"/>
      <c r="HFG130" s="98"/>
      <c r="HFH130" s="98"/>
      <c r="HFI130" s="98"/>
      <c r="HFJ130" s="98"/>
      <c r="HFK130" s="98"/>
      <c r="HFL130" s="98"/>
      <c r="HFM130" s="98"/>
      <c r="HFN130" s="98"/>
      <c r="HFO130" s="98"/>
      <c r="HFP130" s="98"/>
      <c r="HFQ130" s="98"/>
      <c r="HFR130" s="98"/>
      <c r="HFS130" s="98"/>
      <c r="HFT130" s="98"/>
      <c r="HFU130" s="98"/>
      <c r="HFV130" s="98"/>
      <c r="HFW130" s="98"/>
      <c r="HFX130" s="98"/>
      <c r="HFY130" s="98"/>
      <c r="HFZ130" s="98"/>
      <c r="HGA130" s="98"/>
      <c r="HGB130" s="98"/>
      <c r="HGC130" s="98"/>
      <c r="HGD130" s="98"/>
      <c r="HGE130" s="98"/>
      <c r="HGF130" s="98"/>
      <c r="HGG130" s="98"/>
      <c r="HGH130" s="98"/>
      <c r="HGI130" s="98"/>
      <c r="HGJ130" s="98"/>
      <c r="HGK130" s="98"/>
      <c r="HGL130" s="98"/>
      <c r="HGM130" s="98"/>
      <c r="HGN130" s="98"/>
      <c r="HGO130" s="98"/>
      <c r="HGP130" s="98"/>
      <c r="HGQ130" s="98"/>
      <c r="HGR130" s="98"/>
      <c r="HGS130" s="98"/>
      <c r="HGT130" s="98"/>
      <c r="HGU130" s="98"/>
      <c r="HGV130" s="98"/>
      <c r="HGW130" s="98"/>
      <c r="HGX130" s="98"/>
      <c r="HGY130" s="98"/>
      <c r="HGZ130" s="98"/>
      <c r="HHA130" s="98"/>
      <c r="HHB130" s="98"/>
      <c r="HHC130" s="98"/>
      <c r="HHD130" s="98"/>
      <c r="HHE130" s="98"/>
      <c r="HHF130" s="98"/>
      <c r="HHG130" s="98"/>
      <c r="HHH130" s="98"/>
      <c r="HHI130" s="98"/>
      <c r="HHJ130" s="98"/>
      <c r="HHK130" s="98"/>
      <c r="HHL130" s="98"/>
      <c r="HHM130" s="98"/>
      <c r="HHN130" s="98"/>
      <c r="HHO130" s="98"/>
      <c r="HHP130" s="98"/>
      <c r="HHQ130" s="98"/>
      <c r="HHR130" s="98"/>
      <c r="HHS130" s="98"/>
      <c r="HHT130" s="98"/>
      <c r="HHU130" s="98"/>
      <c r="HHV130" s="98"/>
      <c r="HHW130" s="98"/>
      <c r="HHX130" s="98"/>
      <c r="HHY130" s="98"/>
      <c r="HHZ130" s="98"/>
      <c r="HIA130" s="98"/>
      <c r="HIB130" s="98"/>
      <c r="HIC130" s="98"/>
      <c r="HID130" s="98"/>
      <c r="HIE130" s="98"/>
      <c r="HIF130" s="98"/>
      <c r="HIG130" s="98"/>
      <c r="HIH130" s="98"/>
      <c r="HII130" s="98"/>
      <c r="HIJ130" s="98"/>
      <c r="HIK130" s="98"/>
      <c r="HIL130" s="98"/>
      <c r="HIM130" s="98"/>
      <c r="HIN130" s="98"/>
      <c r="HIO130" s="98"/>
      <c r="HIP130" s="98"/>
      <c r="HIQ130" s="98"/>
      <c r="HIR130" s="98"/>
      <c r="HIS130" s="98"/>
      <c r="HIT130" s="98"/>
      <c r="HIU130" s="98"/>
      <c r="HIV130" s="98"/>
      <c r="HIW130" s="98"/>
      <c r="HIX130" s="98"/>
      <c r="HIY130" s="98"/>
      <c r="HIZ130" s="98"/>
      <c r="HJA130" s="98"/>
      <c r="HJB130" s="98"/>
      <c r="HJC130" s="98"/>
      <c r="HJD130" s="98"/>
      <c r="HJE130" s="98"/>
      <c r="HJF130" s="98"/>
      <c r="HJG130" s="98"/>
      <c r="HJH130" s="98"/>
      <c r="HJI130" s="98"/>
      <c r="HJJ130" s="98"/>
      <c r="HJK130" s="98"/>
      <c r="HJL130" s="98"/>
      <c r="HJM130" s="98"/>
      <c r="HJN130" s="98"/>
      <c r="HJO130" s="98"/>
      <c r="HJP130" s="98"/>
      <c r="HJQ130" s="98"/>
      <c r="HJR130" s="98"/>
      <c r="HJS130" s="98"/>
      <c r="HJT130" s="98"/>
      <c r="HJU130" s="98"/>
      <c r="HJV130" s="98"/>
      <c r="HJW130" s="98"/>
      <c r="HJX130" s="98"/>
      <c r="HJY130" s="98"/>
      <c r="HJZ130" s="98"/>
      <c r="HKA130" s="98"/>
      <c r="HKB130" s="98"/>
      <c r="HKC130" s="98"/>
      <c r="HKD130" s="98"/>
      <c r="HKE130" s="98"/>
      <c r="HKF130" s="98"/>
      <c r="HKG130" s="98"/>
      <c r="HKH130" s="98"/>
      <c r="HKI130" s="98"/>
      <c r="HKJ130" s="98"/>
      <c r="HKK130" s="98"/>
      <c r="HKL130" s="98"/>
      <c r="HKM130" s="98"/>
      <c r="HKN130" s="98"/>
      <c r="HKO130" s="98"/>
      <c r="HKP130" s="98"/>
      <c r="HKQ130" s="98"/>
      <c r="HKR130" s="98"/>
      <c r="HKS130" s="98"/>
      <c r="HKT130" s="98"/>
      <c r="HKU130" s="98"/>
      <c r="HKV130" s="98"/>
      <c r="HKW130" s="98"/>
      <c r="HKX130" s="98"/>
      <c r="HKY130" s="98"/>
      <c r="HKZ130" s="98"/>
      <c r="HLA130" s="98"/>
      <c r="HLB130" s="98"/>
      <c r="HLC130" s="98"/>
      <c r="HLD130" s="98"/>
      <c r="HLE130" s="98"/>
      <c r="HLF130" s="98"/>
      <c r="HLG130" s="98"/>
      <c r="HLH130" s="98"/>
      <c r="HLI130" s="98"/>
      <c r="HLJ130" s="98"/>
      <c r="HLK130" s="98"/>
      <c r="HLL130" s="98"/>
      <c r="HLM130" s="98"/>
      <c r="HLN130" s="98"/>
      <c r="HLO130" s="98"/>
      <c r="HLP130" s="98"/>
      <c r="HLQ130" s="98"/>
      <c r="HLR130" s="98"/>
      <c r="HLS130" s="98"/>
      <c r="HLT130" s="98"/>
      <c r="HLU130" s="98"/>
      <c r="HLV130" s="98"/>
      <c r="HLW130" s="98"/>
      <c r="HLX130" s="98"/>
      <c r="HLY130" s="98"/>
      <c r="HLZ130" s="98"/>
      <c r="HMA130" s="98"/>
      <c r="HMB130" s="98"/>
      <c r="HMC130" s="98"/>
      <c r="HMD130" s="98"/>
      <c r="HME130" s="98"/>
      <c r="HMF130" s="98"/>
      <c r="HMG130" s="98"/>
      <c r="HMH130" s="98"/>
      <c r="HMI130" s="98"/>
      <c r="HMJ130" s="98"/>
      <c r="HMK130" s="98"/>
      <c r="HML130" s="98"/>
      <c r="HMM130" s="98"/>
      <c r="HMN130" s="98"/>
      <c r="HMO130" s="98"/>
      <c r="HMP130" s="98"/>
      <c r="HMQ130" s="98"/>
      <c r="HMR130" s="98"/>
      <c r="HMS130" s="98"/>
      <c r="HMT130" s="98"/>
      <c r="HMU130" s="98"/>
      <c r="HMV130" s="98"/>
      <c r="HMW130" s="98"/>
      <c r="HMX130" s="98"/>
      <c r="HMY130" s="98"/>
      <c r="HMZ130" s="98"/>
      <c r="HNA130" s="98"/>
      <c r="HNB130" s="98"/>
      <c r="HNC130" s="98"/>
      <c r="HND130" s="98"/>
      <c r="HNE130" s="98"/>
      <c r="HNF130" s="98"/>
      <c r="HNG130" s="98"/>
      <c r="HNH130" s="98"/>
      <c r="HNI130" s="98"/>
      <c r="HNJ130" s="98"/>
      <c r="HNK130" s="98"/>
      <c r="HNL130" s="98"/>
      <c r="HNM130" s="98"/>
      <c r="HNN130" s="98"/>
      <c r="HNO130" s="98"/>
      <c r="HNP130" s="98"/>
      <c r="HNQ130" s="98"/>
      <c r="HNR130" s="98"/>
      <c r="HNS130" s="98"/>
      <c r="HNT130" s="98"/>
      <c r="HNU130" s="98"/>
      <c r="HNV130" s="98"/>
      <c r="HNW130" s="98"/>
      <c r="HNX130" s="98"/>
      <c r="HNY130" s="98"/>
      <c r="HNZ130" s="98"/>
      <c r="HOA130" s="98"/>
      <c r="HOB130" s="98"/>
      <c r="HOC130" s="98"/>
      <c r="HOD130" s="98"/>
      <c r="HOE130" s="98"/>
      <c r="HOF130" s="98"/>
      <c r="HOG130" s="98"/>
      <c r="HOH130" s="98"/>
      <c r="HOI130" s="98"/>
      <c r="HOJ130" s="98"/>
      <c r="HOK130" s="98"/>
      <c r="HOL130" s="98"/>
      <c r="HOM130" s="98"/>
      <c r="HON130" s="98"/>
      <c r="HOO130" s="98"/>
      <c r="HOP130" s="98"/>
      <c r="HOQ130" s="98"/>
      <c r="HOR130" s="98"/>
      <c r="HOS130" s="98"/>
      <c r="HOT130" s="98"/>
      <c r="HOU130" s="98"/>
      <c r="HOV130" s="98"/>
      <c r="HOW130" s="98"/>
      <c r="HOX130" s="98"/>
      <c r="HOY130" s="98"/>
      <c r="HOZ130" s="98"/>
      <c r="HPA130" s="98"/>
      <c r="HPB130" s="98"/>
      <c r="HPC130" s="98"/>
      <c r="HPD130" s="98"/>
      <c r="HPE130" s="98"/>
      <c r="HPF130" s="98"/>
      <c r="HPG130" s="98"/>
      <c r="HPH130" s="98"/>
      <c r="HPI130" s="98"/>
      <c r="HPJ130" s="98"/>
      <c r="HPK130" s="98"/>
      <c r="HPL130" s="98"/>
      <c r="HPM130" s="98"/>
      <c r="HPN130" s="98"/>
      <c r="HPO130" s="98"/>
      <c r="HPP130" s="98"/>
      <c r="HPQ130" s="98"/>
      <c r="HPR130" s="98"/>
      <c r="HPS130" s="98"/>
      <c r="HPT130" s="98"/>
      <c r="HPU130" s="98"/>
      <c r="HPV130" s="98"/>
      <c r="HPW130" s="98"/>
      <c r="HPX130" s="98"/>
      <c r="HPY130" s="98"/>
      <c r="HPZ130" s="98"/>
      <c r="HQA130" s="98"/>
      <c r="HQB130" s="98"/>
      <c r="HQC130" s="98"/>
      <c r="HQD130" s="98"/>
      <c r="HQE130" s="98"/>
      <c r="HQF130" s="98"/>
      <c r="HQG130" s="98"/>
      <c r="HQH130" s="98"/>
      <c r="HQI130" s="98"/>
      <c r="HQJ130" s="98"/>
      <c r="HQK130" s="98"/>
      <c r="HQL130" s="98"/>
      <c r="HQM130" s="98"/>
      <c r="HQN130" s="98"/>
      <c r="HQO130" s="98"/>
      <c r="HQP130" s="98"/>
      <c r="HQQ130" s="98"/>
      <c r="HQR130" s="98"/>
      <c r="HQS130" s="98"/>
      <c r="HQT130" s="98"/>
      <c r="HQU130" s="98"/>
      <c r="HQV130" s="98"/>
      <c r="HQW130" s="98"/>
      <c r="HQX130" s="98"/>
      <c r="HQY130" s="98"/>
      <c r="HQZ130" s="98"/>
      <c r="HRA130" s="98"/>
      <c r="HRB130" s="98"/>
      <c r="HRC130" s="98"/>
      <c r="HRD130" s="98"/>
      <c r="HRE130" s="98"/>
      <c r="HRF130" s="98"/>
      <c r="HRG130" s="98"/>
      <c r="HRH130" s="98"/>
      <c r="HRI130" s="98"/>
      <c r="HRJ130" s="98"/>
      <c r="HRK130" s="98"/>
      <c r="HRL130" s="98"/>
      <c r="HRM130" s="98"/>
      <c r="HRN130" s="98"/>
      <c r="HRO130" s="98"/>
      <c r="HRP130" s="98"/>
      <c r="HRQ130" s="98"/>
      <c r="HRR130" s="98"/>
      <c r="HRS130" s="98"/>
      <c r="HRT130" s="98"/>
      <c r="HRU130" s="98"/>
      <c r="HRV130" s="98"/>
      <c r="HRW130" s="98"/>
      <c r="HRX130" s="98"/>
      <c r="HRY130" s="98"/>
      <c r="HRZ130" s="98"/>
      <c r="HSA130" s="98"/>
      <c r="HSB130" s="98"/>
      <c r="HSC130" s="98"/>
      <c r="HSD130" s="98"/>
      <c r="HSE130" s="98"/>
      <c r="HSF130" s="98"/>
      <c r="HSG130" s="98"/>
      <c r="HSH130" s="98"/>
      <c r="HSI130" s="98"/>
      <c r="HSJ130" s="98"/>
      <c r="HSK130" s="98"/>
      <c r="HSL130" s="98"/>
      <c r="HSM130" s="98"/>
      <c r="HSN130" s="98"/>
      <c r="HSO130" s="98"/>
      <c r="HSP130" s="98"/>
      <c r="HSQ130" s="98"/>
      <c r="HSR130" s="98"/>
      <c r="HSS130" s="98"/>
      <c r="HST130" s="98"/>
      <c r="HSU130" s="98"/>
      <c r="HSV130" s="98"/>
      <c r="HSW130" s="98"/>
      <c r="HSX130" s="98"/>
      <c r="HSY130" s="98"/>
      <c r="HSZ130" s="98"/>
      <c r="HTA130" s="98"/>
      <c r="HTB130" s="98"/>
      <c r="HTC130" s="98"/>
      <c r="HTD130" s="98"/>
      <c r="HTE130" s="98"/>
      <c r="HTF130" s="98"/>
      <c r="HTG130" s="98"/>
      <c r="HTH130" s="98"/>
      <c r="HTI130" s="98"/>
      <c r="HTJ130" s="98"/>
      <c r="HTK130" s="98"/>
      <c r="HTL130" s="98"/>
      <c r="HTM130" s="98"/>
      <c r="HTN130" s="98"/>
      <c r="HTO130" s="98"/>
      <c r="HTP130" s="98"/>
      <c r="HTQ130" s="98"/>
      <c r="HTR130" s="98"/>
      <c r="HTS130" s="98"/>
      <c r="HTT130" s="98"/>
      <c r="HTU130" s="98"/>
      <c r="HTV130" s="98"/>
      <c r="HTW130" s="98"/>
      <c r="HTX130" s="98"/>
      <c r="HTY130" s="98"/>
      <c r="HTZ130" s="98"/>
      <c r="HUA130" s="98"/>
      <c r="HUB130" s="98"/>
      <c r="HUC130" s="98"/>
      <c r="HUD130" s="98"/>
      <c r="HUE130" s="98"/>
      <c r="HUF130" s="98"/>
      <c r="HUG130" s="98"/>
      <c r="HUH130" s="98"/>
      <c r="HUI130" s="98"/>
      <c r="HUJ130" s="98"/>
      <c r="HUK130" s="98"/>
      <c r="HUL130" s="98"/>
      <c r="HUM130" s="98"/>
      <c r="HUN130" s="98"/>
      <c r="HUO130" s="98"/>
      <c r="HUP130" s="98"/>
      <c r="HUQ130" s="98"/>
      <c r="HUR130" s="98"/>
      <c r="HUS130" s="98"/>
      <c r="HUT130" s="98"/>
      <c r="HUU130" s="98"/>
      <c r="HUV130" s="98"/>
      <c r="HUW130" s="98"/>
      <c r="HUX130" s="98"/>
      <c r="HUY130" s="98"/>
      <c r="HUZ130" s="98"/>
      <c r="HVA130" s="98"/>
      <c r="HVB130" s="98"/>
      <c r="HVC130" s="98"/>
      <c r="HVD130" s="98"/>
      <c r="HVE130" s="98"/>
      <c r="HVF130" s="98"/>
      <c r="HVG130" s="98"/>
      <c r="HVH130" s="98"/>
      <c r="HVI130" s="98"/>
      <c r="HVJ130" s="98"/>
      <c r="HVK130" s="98"/>
      <c r="HVL130" s="98"/>
      <c r="HVM130" s="98"/>
      <c r="HVN130" s="98"/>
      <c r="HVO130" s="98"/>
      <c r="HVP130" s="98"/>
      <c r="HVQ130" s="98"/>
      <c r="HVR130" s="98"/>
      <c r="HVS130" s="98"/>
      <c r="HVT130" s="98"/>
      <c r="HVU130" s="98"/>
      <c r="HVV130" s="98"/>
      <c r="HVW130" s="98"/>
      <c r="HVX130" s="98"/>
      <c r="HVY130" s="98"/>
      <c r="HVZ130" s="98"/>
      <c r="HWA130" s="98"/>
      <c r="HWB130" s="98"/>
      <c r="HWC130" s="98"/>
      <c r="HWD130" s="98"/>
      <c r="HWE130" s="98"/>
      <c r="HWF130" s="98"/>
      <c r="HWG130" s="98"/>
      <c r="HWH130" s="98"/>
      <c r="HWI130" s="98"/>
      <c r="HWJ130" s="98"/>
      <c r="HWK130" s="98"/>
      <c r="HWL130" s="98"/>
      <c r="HWM130" s="98"/>
      <c r="HWN130" s="98"/>
      <c r="HWO130" s="98"/>
      <c r="HWP130" s="98"/>
      <c r="HWQ130" s="98"/>
      <c r="HWR130" s="98"/>
      <c r="HWS130" s="98"/>
      <c r="HWT130" s="98"/>
      <c r="HWU130" s="98"/>
      <c r="HWV130" s="98"/>
      <c r="HWW130" s="98"/>
      <c r="HWX130" s="98"/>
      <c r="HWY130" s="98"/>
      <c r="HWZ130" s="98"/>
      <c r="HXA130" s="98"/>
      <c r="HXB130" s="98"/>
      <c r="HXC130" s="98"/>
      <c r="HXD130" s="98"/>
      <c r="HXE130" s="98"/>
      <c r="HXF130" s="98"/>
      <c r="HXG130" s="98"/>
      <c r="HXH130" s="98"/>
      <c r="HXI130" s="98"/>
      <c r="HXJ130" s="98"/>
      <c r="HXK130" s="98"/>
      <c r="HXL130" s="98"/>
      <c r="HXM130" s="98"/>
      <c r="HXN130" s="98"/>
      <c r="HXO130" s="98"/>
      <c r="HXP130" s="98"/>
      <c r="HXQ130" s="98"/>
      <c r="HXR130" s="98"/>
      <c r="HXS130" s="98"/>
      <c r="HXT130" s="98"/>
      <c r="HXU130" s="98"/>
      <c r="HXV130" s="98"/>
      <c r="HXW130" s="98"/>
      <c r="HXX130" s="98"/>
      <c r="HXY130" s="98"/>
      <c r="HXZ130" s="98"/>
      <c r="HYA130" s="98"/>
      <c r="HYB130" s="98"/>
      <c r="HYC130" s="98"/>
      <c r="HYD130" s="98"/>
      <c r="HYE130" s="98"/>
      <c r="HYF130" s="98"/>
      <c r="HYG130" s="98"/>
      <c r="HYH130" s="98"/>
      <c r="HYI130" s="98"/>
      <c r="HYJ130" s="98"/>
      <c r="HYK130" s="98"/>
      <c r="HYL130" s="98"/>
      <c r="HYM130" s="98"/>
      <c r="HYN130" s="98"/>
      <c r="HYO130" s="98"/>
      <c r="HYP130" s="98"/>
      <c r="HYQ130" s="98"/>
      <c r="HYR130" s="98"/>
      <c r="HYS130" s="98"/>
      <c r="HYT130" s="98"/>
      <c r="HYU130" s="98"/>
      <c r="HYV130" s="98"/>
      <c r="HYW130" s="98"/>
      <c r="HYX130" s="98"/>
      <c r="HYY130" s="98"/>
      <c r="HYZ130" s="98"/>
      <c r="HZA130" s="98"/>
      <c r="HZB130" s="98"/>
      <c r="HZC130" s="98"/>
      <c r="HZD130" s="98"/>
      <c r="HZE130" s="98"/>
      <c r="HZF130" s="98"/>
      <c r="HZG130" s="98"/>
      <c r="HZH130" s="98"/>
      <c r="HZI130" s="98"/>
      <c r="HZJ130" s="98"/>
      <c r="HZK130" s="98"/>
      <c r="HZL130" s="98"/>
      <c r="HZM130" s="98"/>
      <c r="HZN130" s="98"/>
      <c r="HZO130" s="98"/>
      <c r="HZP130" s="98"/>
      <c r="HZQ130" s="98"/>
      <c r="HZR130" s="98"/>
      <c r="HZS130" s="98"/>
      <c r="HZT130" s="98"/>
      <c r="HZU130" s="98"/>
      <c r="HZV130" s="98"/>
      <c r="HZW130" s="98"/>
      <c r="HZX130" s="98"/>
      <c r="HZY130" s="98"/>
      <c r="HZZ130" s="98"/>
      <c r="IAA130" s="98"/>
      <c r="IAB130" s="98"/>
      <c r="IAC130" s="98"/>
      <c r="IAD130" s="98"/>
      <c r="IAE130" s="98"/>
      <c r="IAF130" s="98"/>
      <c r="IAG130" s="98"/>
      <c r="IAH130" s="98"/>
      <c r="IAI130" s="98"/>
      <c r="IAJ130" s="98"/>
      <c r="IAK130" s="98"/>
      <c r="IAL130" s="98"/>
      <c r="IAM130" s="98"/>
      <c r="IAN130" s="98"/>
      <c r="IAO130" s="98"/>
      <c r="IAP130" s="98"/>
      <c r="IAQ130" s="98"/>
      <c r="IAR130" s="98"/>
      <c r="IAS130" s="98"/>
      <c r="IAT130" s="98"/>
      <c r="IAU130" s="98"/>
      <c r="IAV130" s="98"/>
      <c r="IAW130" s="98"/>
      <c r="IAX130" s="98"/>
      <c r="IAY130" s="98"/>
      <c r="IAZ130" s="98"/>
      <c r="IBA130" s="98"/>
      <c r="IBB130" s="98"/>
      <c r="IBC130" s="98"/>
      <c r="IBD130" s="98"/>
      <c r="IBE130" s="98"/>
      <c r="IBF130" s="98"/>
      <c r="IBG130" s="98"/>
      <c r="IBH130" s="98"/>
      <c r="IBI130" s="98"/>
      <c r="IBJ130" s="98"/>
      <c r="IBK130" s="98"/>
      <c r="IBL130" s="98"/>
      <c r="IBM130" s="98"/>
      <c r="IBN130" s="98"/>
      <c r="IBO130" s="98"/>
      <c r="IBP130" s="98"/>
      <c r="IBQ130" s="98"/>
      <c r="IBR130" s="98"/>
      <c r="IBS130" s="98"/>
      <c r="IBT130" s="98"/>
      <c r="IBU130" s="98"/>
      <c r="IBV130" s="98"/>
      <c r="IBW130" s="98"/>
      <c r="IBX130" s="98"/>
      <c r="IBY130" s="98"/>
      <c r="IBZ130" s="98"/>
      <c r="ICA130" s="98"/>
      <c r="ICB130" s="98"/>
      <c r="ICC130" s="98"/>
      <c r="ICD130" s="98"/>
      <c r="ICE130" s="98"/>
      <c r="ICF130" s="98"/>
      <c r="ICG130" s="98"/>
      <c r="ICH130" s="98"/>
      <c r="ICI130" s="98"/>
      <c r="ICJ130" s="98"/>
      <c r="ICK130" s="98"/>
      <c r="ICL130" s="98"/>
      <c r="ICM130" s="98"/>
      <c r="ICN130" s="98"/>
      <c r="ICO130" s="98"/>
      <c r="ICP130" s="98"/>
      <c r="ICQ130" s="98"/>
      <c r="ICR130" s="98"/>
      <c r="ICS130" s="98"/>
      <c r="ICT130" s="98"/>
      <c r="ICU130" s="98"/>
      <c r="ICV130" s="98"/>
      <c r="ICW130" s="98"/>
      <c r="ICX130" s="98"/>
      <c r="ICY130" s="98"/>
      <c r="ICZ130" s="98"/>
      <c r="IDA130" s="98"/>
      <c r="IDB130" s="98"/>
      <c r="IDC130" s="98"/>
      <c r="IDD130" s="98"/>
      <c r="IDE130" s="98"/>
      <c r="IDF130" s="98"/>
      <c r="IDG130" s="98"/>
      <c r="IDH130" s="98"/>
      <c r="IDI130" s="98"/>
      <c r="IDJ130" s="98"/>
      <c r="IDK130" s="98"/>
      <c r="IDL130" s="98"/>
      <c r="IDM130" s="98"/>
      <c r="IDN130" s="98"/>
      <c r="IDO130" s="98"/>
      <c r="IDP130" s="98"/>
      <c r="IDQ130" s="98"/>
      <c r="IDR130" s="98"/>
      <c r="IDS130" s="98"/>
      <c r="IDT130" s="98"/>
      <c r="IDU130" s="98"/>
      <c r="IDV130" s="98"/>
      <c r="IDW130" s="98"/>
      <c r="IDX130" s="98"/>
      <c r="IDY130" s="98"/>
      <c r="IDZ130" s="98"/>
      <c r="IEA130" s="98"/>
      <c r="IEB130" s="98"/>
      <c r="IEC130" s="98"/>
      <c r="IED130" s="98"/>
      <c r="IEE130" s="98"/>
      <c r="IEF130" s="98"/>
      <c r="IEG130" s="98"/>
      <c r="IEH130" s="98"/>
      <c r="IEI130" s="98"/>
      <c r="IEJ130" s="98"/>
      <c r="IEK130" s="98"/>
      <c r="IEL130" s="98"/>
      <c r="IEM130" s="98"/>
      <c r="IEN130" s="98"/>
      <c r="IEO130" s="98"/>
      <c r="IEP130" s="98"/>
      <c r="IEQ130" s="98"/>
      <c r="IER130" s="98"/>
      <c r="IES130" s="98"/>
      <c r="IET130" s="98"/>
      <c r="IEU130" s="98"/>
      <c r="IEV130" s="98"/>
      <c r="IEW130" s="98"/>
      <c r="IEX130" s="98"/>
      <c r="IEY130" s="98"/>
      <c r="IEZ130" s="98"/>
      <c r="IFA130" s="98"/>
      <c r="IFB130" s="98"/>
      <c r="IFC130" s="98"/>
      <c r="IFD130" s="98"/>
      <c r="IFE130" s="98"/>
      <c r="IFF130" s="98"/>
      <c r="IFG130" s="98"/>
      <c r="IFH130" s="98"/>
      <c r="IFI130" s="98"/>
      <c r="IFJ130" s="98"/>
      <c r="IFK130" s="98"/>
      <c r="IFL130" s="98"/>
      <c r="IFM130" s="98"/>
      <c r="IFN130" s="98"/>
      <c r="IFO130" s="98"/>
      <c r="IFP130" s="98"/>
      <c r="IFQ130" s="98"/>
      <c r="IFR130" s="98"/>
      <c r="IFS130" s="98"/>
      <c r="IFT130" s="98"/>
      <c r="IFU130" s="98"/>
      <c r="IFV130" s="98"/>
      <c r="IFW130" s="98"/>
      <c r="IFX130" s="98"/>
      <c r="IFY130" s="98"/>
      <c r="IFZ130" s="98"/>
      <c r="IGA130" s="98"/>
      <c r="IGB130" s="98"/>
      <c r="IGC130" s="98"/>
      <c r="IGD130" s="98"/>
      <c r="IGE130" s="98"/>
      <c r="IGF130" s="98"/>
      <c r="IGG130" s="98"/>
      <c r="IGH130" s="98"/>
      <c r="IGI130" s="98"/>
      <c r="IGJ130" s="98"/>
      <c r="IGK130" s="98"/>
      <c r="IGL130" s="98"/>
      <c r="IGM130" s="98"/>
      <c r="IGN130" s="98"/>
      <c r="IGO130" s="98"/>
      <c r="IGP130" s="98"/>
      <c r="IGQ130" s="98"/>
      <c r="IGR130" s="98"/>
      <c r="IGS130" s="98"/>
      <c r="IGT130" s="98"/>
      <c r="IGU130" s="98"/>
      <c r="IGV130" s="98"/>
      <c r="IGW130" s="98"/>
      <c r="IGX130" s="98"/>
      <c r="IGY130" s="98"/>
      <c r="IGZ130" s="98"/>
      <c r="IHA130" s="98"/>
      <c r="IHB130" s="98"/>
      <c r="IHC130" s="98"/>
      <c r="IHD130" s="98"/>
      <c r="IHE130" s="98"/>
      <c r="IHF130" s="98"/>
      <c r="IHG130" s="98"/>
      <c r="IHH130" s="98"/>
      <c r="IHI130" s="98"/>
      <c r="IHJ130" s="98"/>
      <c r="IHK130" s="98"/>
      <c r="IHL130" s="98"/>
      <c r="IHM130" s="98"/>
      <c r="IHN130" s="98"/>
      <c r="IHO130" s="98"/>
      <c r="IHP130" s="98"/>
      <c r="IHQ130" s="98"/>
      <c r="IHR130" s="98"/>
      <c r="IHS130" s="98"/>
      <c r="IHT130" s="98"/>
      <c r="IHU130" s="98"/>
      <c r="IHV130" s="98"/>
      <c r="IHW130" s="98"/>
      <c r="IHX130" s="98"/>
      <c r="IHY130" s="98"/>
      <c r="IHZ130" s="98"/>
      <c r="IIA130" s="98"/>
      <c r="IIB130" s="98"/>
      <c r="IIC130" s="98"/>
      <c r="IID130" s="98"/>
      <c r="IIE130" s="98"/>
      <c r="IIF130" s="98"/>
      <c r="IIG130" s="98"/>
      <c r="IIH130" s="98"/>
      <c r="III130" s="98"/>
      <c r="IIJ130" s="98"/>
      <c r="IIK130" s="98"/>
      <c r="IIL130" s="98"/>
      <c r="IIM130" s="98"/>
      <c r="IIN130" s="98"/>
      <c r="IIO130" s="98"/>
      <c r="IIP130" s="98"/>
      <c r="IIQ130" s="98"/>
      <c r="IIR130" s="98"/>
      <c r="IIS130" s="98"/>
      <c r="IIT130" s="98"/>
      <c r="IIU130" s="98"/>
      <c r="IIV130" s="98"/>
      <c r="IIW130" s="98"/>
      <c r="IIX130" s="98"/>
      <c r="IIY130" s="98"/>
      <c r="IIZ130" s="98"/>
      <c r="IJA130" s="98"/>
      <c r="IJB130" s="98"/>
      <c r="IJC130" s="98"/>
      <c r="IJD130" s="98"/>
      <c r="IJE130" s="98"/>
      <c r="IJF130" s="98"/>
      <c r="IJG130" s="98"/>
      <c r="IJH130" s="98"/>
      <c r="IJI130" s="98"/>
      <c r="IJJ130" s="98"/>
      <c r="IJK130" s="98"/>
      <c r="IJL130" s="98"/>
      <c r="IJM130" s="98"/>
      <c r="IJN130" s="98"/>
      <c r="IJO130" s="98"/>
      <c r="IJP130" s="98"/>
      <c r="IJQ130" s="98"/>
      <c r="IJR130" s="98"/>
      <c r="IJS130" s="98"/>
      <c r="IJT130" s="98"/>
      <c r="IJU130" s="98"/>
      <c r="IJV130" s="98"/>
      <c r="IJW130" s="98"/>
      <c r="IJX130" s="98"/>
      <c r="IJY130" s="98"/>
      <c r="IJZ130" s="98"/>
      <c r="IKA130" s="98"/>
      <c r="IKB130" s="98"/>
      <c r="IKC130" s="98"/>
      <c r="IKD130" s="98"/>
      <c r="IKE130" s="98"/>
      <c r="IKF130" s="98"/>
      <c r="IKG130" s="98"/>
      <c r="IKH130" s="98"/>
      <c r="IKI130" s="98"/>
      <c r="IKJ130" s="98"/>
      <c r="IKK130" s="98"/>
      <c r="IKL130" s="98"/>
      <c r="IKM130" s="98"/>
      <c r="IKN130" s="98"/>
      <c r="IKO130" s="98"/>
      <c r="IKP130" s="98"/>
      <c r="IKQ130" s="98"/>
      <c r="IKR130" s="98"/>
      <c r="IKS130" s="98"/>
      <c r="IKT130" s="98"/>
      <c r="IKU130" s="98"/>
      <c r="IKV130" s="98"/>
      <c r="IKW130" s="98"/>
      <c r="IKX130" s="98"/>
      <c r="IKY130" s="98"/>
      <c r="IKZ130" s="98"/>
      <c r="ILA130" s="98"/>
      <c r="ILB130" s="98"/>
      <c r="ILC130" s="98"/>
      <c r="ILD130" s="98"/>
      <c r="ILE130" s="98"/>
      <c r="ILF130" s="98"/>
      <c r="ILG130" s="98"/>
      <c r="ILH130" s="98"/>
      <c r="ILI130" s="98"/>
      <c r="ILJ130" s="98"/>
      <c r="ILK130" s="98"/>
      <c r="ILL130" s="98"/>
      <c r="ILM130" s="98"/>
      <c r="ILN130" s="98"/>
      <c r="ILO130" s="98"/>
      <c r="ILP130" s="98"/>
      <c r="ILQ130" s="98"/>
      <c r="ILR130" s="98"/>
      <c r="ILS130" s="98"/>
      <c r="ILT130" s="98"/>
      <c r="ILU130" s="98"/>
      <c r="ILV130" s="98"/>
      <c r="ILW130" s="98"/>
      <c r="ILX130" s="98"/>
      <c r="ILY130" s="98"/>
      <c r="ILZ130" s="98"/>
      <c r="IMA130" s="98"/>
      <c r="IMB130" s="98"/>
      <c r="IMC130" s="98"/>
      <c r="IMD130" s="98"/>
      <c r="IME130" s="98"/>
      <c r="IMF130" s="98"/>
      <c r="IMG130" s="98"/>
      <c r="IMH130" s="98"/>
      <c r="IMI130" s="98"/>
      <c r="IMJ130" s="98"/>
      <c r="IMK130" s="98"/>
      <c r="IML130" s="98"/>
      <c r="IMM130" s="98"/>
      <c r="IMN130" s="98"/>
      <c r="IMO130" s="98"/>
      <c r="IMP130" s="98"/>
      <c r="IMQ130" s="98"/>
      <c r="IMR130" s="98"/>
      <c r="IMS130" s="98"/>
      <c r="IMT130" s="98"/>
      <c r="IMU130" s="98"/>
      <c r="IMV130" s="98"/>
      <c r="IMW130" s="98"/>
      <c r="IMX130" s="98"/>
      <c r="IMY130" s="98"/>
      <c r="IMZ130" s="98"/>
      <c r="INA130" s="98"/>
      <c r="INB130" s="98"/>
      <c r="INC130" s="98"/>
      <c r="IND130" s="98"/>
      <c r="INE130" s="98"/>
      <c r="INF130" s="98"/>
      <c r="ING130" s="98"/>
      <c r="INH130" s="98"/>
      <c r="INI130" s="98"/>
      <c r="INJ130" s="98"/>
      <c r="INK130" s="98"/>
      <c r="INL130" s="98"/>
      <c r="INM130" s="98"/>
      <c r="INN130" s="98"/>
      <c r="INO130" s="98"/>
      <c r="INP130" s="98"/>
      <c r="INQ130" s="98"/>
      <c r="INR130" s="98"/>
      <c r="INS130" s="98"/>
      <c r="INT130" s="98"/>
      <c r="INU130" s="98"/>
      <c r="INV130" s="98"/>
      <c r="INW130" s="98"/>
      <c r="INX130" s="98"/>
      <c r="INY130" s="98"/>
      <c r="INZ130" s="98"/>
      <c r="IOA130" s="98"/>
      <c r="IOB130" s="98"/>
      <c r="IOC130" s="98"/>
      <c r="IOD130" s="98"/>
      <c r="IOE130" s="98"/>
      <c r="IOF130" s="98"/>
      <c r="IOG130" s="98"/>
      <c r="IOH130" s="98"/>
      <c r="IOI130" s="98"/>
      <c r="IOJ130" s="98"/>
      <c r="IOK130" s="98"/>
      <c r="IOL130" s="98"/>
      <c r="IOM130" s="98"/>
      <c r="ION130" s="98"/>
      <c r="IOO130" s="98"/>
      <c r="IOP130" s="98"/>
      <c r="IOQ130" s="98"/>
      <c r="IOR130" s="98"/>
      <c r="IOS130" s="98"/>
      <c r="IOT130" s="98"/>
      <c r="IOU130" s="98"/>
      <c r="IOV130" s="98"/>
      <c r="IOW130" s="98"/>
      <c r="IOX130" s="98"/>
      <c r="IOY130" s="98"/>
      <c r="IOZ130" s="98"/>
      <c r="IPA130" s="98"/>
      <c r="IPB130" s="98"/>
      <c r="IPC130" s="98"/>
      <c r="IPD130" s="98"/>
      <c r="IPE130" s="98"/>
      <c r="IPF130" s="98"/>
      <c r="IPG130" s="98"/>
      <c r="IPH130" s="98"/>
      <c r="IPI130" s="98"/>
      <c r="IPJ130" s="98"/>
      <c r="IPK130" s="98"/>
      <c r="IPL130" s="98"/>
      <c r="IPM130" s="98"/>
      <c r="IPN130" s="98"/>
      <c r="IPO130" s="98"/>
      <c r="IPP130" s="98"/>
      <c r="IPQ130" s="98"/>
      <c r="IPR130" s="98"/>
      <c r="IPS130" s="98"/>
      <c r="IPT130" s="98"/>
      <c r="IPU130" s="98"/>
      <c r="IPV130" s="98"/>
      <c r="IPW130" s="98"/>
      <c r="IPX130" s="98"/>
      <c r="IPY130" s="98"/>
      <c r="IPZ130" s="98"/>
      <c r="IQA130" s="98"/>
      <c r="IQB130" s="98"/>
      <c r="IQC130" s="98"/>
      <c r="IQD130" s="98"/>
      <c r="IQE130" s="98"/>
      <c r="IQF130" s="98"/>
      <c r="IQG130" s="98"/>
      <c r="IQH130" s="98"/>
      <c r="IQI130" s="98"/>
      <c r="IQJ130" s="98"/>
      <c r="IQK130" s="98"/>
      <c r="IQL130" s="98"/>
      <c r="IQM130" s="98"/>
      <c r="IQN130" s="98"/>
      <c r="IQO130" s="98"/>
      <c r="IQP130" s="98"/>
      <c r="IQQ130" s="98"/>
      <c r="IQR130" s="98"/>
      <c r="IQS130" s="98"/>
      <c r="IQT130" s="98"/>
      <c r="IQU130" s="98"/>
      <c r="IQV130" s="98"/>
      <c r="IQW130" s="98"/>
      <c r="IQX130" s="98"/>
      <c r="IQY130" s="98"/>
      <c r="IQZ130" s="98"/>
      <c r="IRA130" s="98"/>
      <c r="IRB130" s="98"/>
      <c r="IRC130" s="98"/>
      <c r="IRD130" s="98"/>
      <c r="IRE130" s="98"/>
      <c r="IRF130" s="98"/>
      <c r="IRG130" s="98"/>
      <c r="IRH130" s="98"/>
      <c r="IRI130" s="98"/>
      <c r="IRJ130" s="98"/>
      <c r="IRK130" s="98"/>
      <c r="IRL130" s="98"/>
      <c r="IRM130" s="98"/>
      <c r="IRN130" s="98"/>
      <c r="IRO130" s="98"/>
      <c r="IRP130" s="98"/>
      <c r="IRQ130" s="98"/>
      <c r="IRR130" s="98"/>
      <c r="IRS130" s="98"/>
      <c r="IRT130" s="98"/>
      <c r="IRU130" s="98"/>
      <c r="IRV130" s="98"/>
      <c r="IRW130" s="98"/>
      <c r="IRX130" s="98"/>
      <c r="IRY130" s="98"/>
      <c r="IRZ130" s="98"/>
      <c r="ISA130" s="98"/>
      <c r="ISB130" s="98"/>
      <c r="ISC130" s="98"/>
      <c r="ISD130" s="98"/>
      <c r="ISE130" s="98"/>
      <c r="ISF130" s="98"/>
      <c r="ISG130" s="98"/>
      <c r="ISH130" s="98"/>
      <c r="ISI130" s="98"/>
      <c r="ISJ130" s="98"/>
      <c r="ISK130" s="98"/>
      <c r="ISL130" s="98"/>
      <c r="ISM130" s="98"/>
      <c r="ISN130" s="98"/>
      <c r="ISO130" s="98"/>
      <c r="ISP130" s="98"/>
      <c r="ISQ130" s="98"/>
      <c r="ISR130" s="98"/>
      <c r="ISS130" s="98"/>
      <c r="IST130" s="98"/>
      <c r="ISU130" s="98"/>
      <c r="ISV130" s="98"/>
      <c r="ISW130" s="98"/>
      <c r="ISX130" s="98"/>
      <c r="ISY130" s="98"/>
      <c r="ISZ130" s="98"/>
      <c r="ITA130" s="98"/>
      <c r="ITB130" s="98"/>
      <c r="ITC130" s="98"/>
      <c r="ITD130" s="98"/>
      <c r="ITE130" s="98"/>
      <c r="ITF130" s="98"/>
      <c r="ITG130" s="98"/>
      <c r="ITH130" s="98"/>
      <c r="ITI130" s="98"/>
      <c r="ITJ130" s="98"/>
      <c r="ITK130" s="98"/>
      <c r="ITL130" s="98"/>
      <c r="ITM130" s="98"/>
      <c r="ITN130" s="98"/>
      <c r="ITO130" s="98"/>
      <c r="ITP130" s="98"/>
      <c r="ITQ130" s="98"/>
      <c r="ITR130" s="98"/>
      <c r="ITS130" s="98"/>
      <c r="ITT130" s="98"/>
      <c r="ITU130" s="98"/>
      <c r="ITV130" s="98"/>
      <c r="ITW130" s="98"/>
      <c r="ITX130" s="98"/>
      <c r="ITY130" s="98"/>
      <c r="ITZ130" s="98"/>
      <c r="IUA130" s="98"/>
      <c r="IUB130" s="98"/>
      <c r="IUC130" s="98"/>
      <c r="IUD130" s="98"/>
      <c r="IUE130" s="98"/>
      <c r="IUF130" s="98"/>
      <c r="IUG130" s="98"/>
      <c r="IUH130" s="98"/>
      <c r="IUI130" s="98"/>
      <c r="IUJ130" s="98"/>
      <c r="IUK130" s="98"/>
      <c r="IUL130" s="98"/>
      <c r="IUM130" s="98"/>
      <c r="IUN130" s="98"/>
      <c r="IUO130" s="98"/>
      <c r="IUP130" s="98"/>
      <c r="IUQ130" s="98"/>
      <c r="IUR130" s="98"/>
      <c r="IUS130" s="98"/>
      <c r="IUT130" s="98"/>
      <c r="IUU130" s="98"/>
      <c r="IUV130" s="98"/>
      <c r="IUW130" s="98"/>
      <c r="IUX130" s="98"/>
      <c r="IUY130" s="98"/>
      <c r="IUZ130" s="98"/>
      <c r="IVA130" s="98"/>
      <c r="IVB130" s="98"/>
      <c r="IVC130" s="98"/>
      <c r="IVD130" s="98"/>
      <c r="IVE130" s="98"/>
      <c r="IVF130" s="98"/>
      <c r="IVG130" s="98"/>
      <c r="IVH130" s="98"/>
      <c r="IVI130" s="98"/>
      <c r="IVJ130" s="98"/>
      <c r="IVK130" s="98"/>
      <c r="IVL130" s="98"/>
      <c r="IVM130" s="98"/>
      <c r="IVN130" s="98"/>
      <c r="IVO130" s="98"/>
      <c r="IVP130" s="98"/>
      <c r="IVQ130" s="98"/>
      <c r="IVR130" s="98"/>
      <c r="IVS130" s="98"/>
      <c r="IVT130" s="98"/>
      <c r="IVU130" s="98"/>
      <c r="IVV130" s="98"/>
      <c r="IVW130" s="98"/>
      <c r="IVX130" s="98"/>
      <c r="IVY130" s="98"/>
      <c r="IVZ130" s="98"/>
      <c r="IWA130" s="98"/>
      <c r="IWB130" s="98"/>
      <c r="IWC130" s="98"/>
      <c r="IWD130" s="98"/>
      <c r="IWE130" s="98"/>
      <c r="IWF130" s="98"/>
      <c r="IWG130" s="98"/>
      <c r="IWH130" s="98"/>
      <c r="IWI130" s="98"/>
      <c r="IWJ130" s="98"/>
      <c r="IWK130" s="98"/>
      <c r="IWL130" s="98"/>
      <c r="IWM130" s="98"/>
      <c r="IWN130" s="98"/>
      <c r="IWO130" s="98"/>
      <c r="IWP130" s="98"/>
      <c r="IWQ130" s="98"/>
      <c r="IWR130" s="98"/>
      <c r="IWS130" s="98"/>
      <c r="IWT130" s="98"/>
      <c r="IWU130" s="98"/>
      <c r="IWV130" s="98"/>
      <c r="IWW130" s="98"/>
      <c r="IWX130" s="98"/>
      <c r="IWY130" s="98"/>
      <c r="IWZ130" s="98"/>
      <c r="IXA130" s="98"/>
      <c r="IXB130" s="98"/>
      <c r="IXC130" s="98"/>
      <c r="IXD130" s="98"/>
      <c r="IXE130" s="98"/>
      <c r="IXF130" s="98"/>
      <c r="IXG130" s="98"/>
      <c r="IXH130" s="98"/>
      <c r="IXI130" s="98"/>
      <c r="IXJ130" s="98"/>
      <c r="IXK130" s="98"/>
      <c r="IXL130" s="98"/>
      <c r="IXM130" s="98"/>
      <c r="IXN130" s="98"/>
      <c r="IXO130" s="98"/>
      <c r="IXP130" s="98"/>
      <c r="IXQ130" s="98"/>
      <c r="IXR130" s="98"/>
      <c r="IXS130" s="98"/>
      <c r="IXT130" s="98"/>
      <c r="IXU130" s="98"/>
      <c r="IXV130" s="98"/>
      <c r="IXW130" s="98"/>
      <c r="IXX130" s="98"/>
      <c r="IXY130" s="98"/>
      <c r="IXZ130" s="98"/>
      <c r="IYA130" s="98"/>
      <c r="IYB130" s="98"/>
      <c r="IYC130" s="98"/>
      <c r="IYD130" s="98"/>
      <c r="IYE130" s="98"/>
      <c r="IYF130" s="98"/>
      <c r="IYG130" s="98"/>
      <c r="IYH130" s="98"/>
      <c r="IYI130" s="98"/>
      <c r="IYJ130" s="98"/>
      <c r="IYK130" s="98"/>
      <c r="IYL130" s="98"/>
      <c r="IYM130" s="98"/>
      <c r="IYN130" s="98"/>
      <c r="IYO130" s="98"/>
      <c r="IYP130" s="98"/>
      <c r="IYQ130" s="98"/>
      <c r="IYR130" s="98"/>
      <c r="IYS130" s="98"/>
      <c r="IYT130" s="98"/>
      <c r="IYU130" s="98"/>
      <c r="IYV130" s="98"/>
      <c r="IYW130" s="98"/>
      <c r="IYX130" s="98"/>
      <c r="IYY130" s="98"/>
      <c r="IYZ130" s="98"/>
      <c r="IZA130" s="98"/>
      <c r="IZB130" s="98"/>
      <c r="IZC130" s="98"/>
      <c r="IZD130" s="98"/>
      <c r="IZE130" s="98"/>
      <c r="IZF130" s="98"/>
      <c r="IZG130" s="98"/>
      <c r="IZH130" s="98"/>
      <c r="IZI130" s="98"/>
      <c r="IZJ130" s="98"/>
      <c r="IZK130" s="98"/>
      <c r="IZL130" s="98"/>
      <c r="IZM130" s="98"/>
      <c r="IZN130" s="98"/>
      <c r="IZO130" s="98"/>
      <c r="IZP130" s="98"/>
      <c r="IZQ130" s="98"/>
      <c r="IZR130" s="98"/>
      <c r="IZS130" s="98"/>
      <c r="IZT130" s="98"/>
      <c r="IZU130" s="98"/>
      <c r="IZV130" s="98"/>
      <c r="IZW130" s="98"/>
      <c r="IZX130" s="98"/>
      <c r="IZY130" s="98"/>
      <c r="IZZ130" s="98"/>
      <c r="JAA130" s="98"/>
      <c r="JAB130" s="98"/>
      <c r="JAC130" s="98"/>
      <c r="JAD130" s="98"/>
      <c r="JAE130" s="98"/>
      <c r="JAF130" s="98"/>
      <c r="JAG130" s="98"/>
      <c r="JAH130" s="98"/>
      <c r="JAI130" s="98"/>
      <c r="JAJ130" s="98"/>
      <c r="JAK130" s="98"/>
      <c r="JAL130" s="98"/>
      <c r="JAM130" s="98"/>
      <c r="JAN130" s="98"/>
      <c r="JAO130" s="98"/>
      <c r="JAP130" s="98"/>
      <c r="JAQ130" s="98"/>
      <c r="JAR130" s="98"/>
      <c r="JAS130" s="98"/>
      <c r="JAT130" s="98"/>
      <c r="JAU130" s="98"/>
      <c r="JAV130" s="98"/>
      <c r="JAW130" s="98"/>
      <c r="JAX130" s="98"/>
      <c r="JAY130" s="98"/>
      <c r="JAZ130" s="98"/>
      <c r="JBA130" s="98"/>
      <c r="JBB130" s="98"/>
      <c r="JBC130" s="98"/>
      <c r="JBD130" s="98"/>
      <c r="JBE130" s="98"/>
      <c r="JBF130" s="98"/>
      <c r="JBG130" s="98"/>
      <c r="JBH130" s="98"/>
      <c r="JBI130" s="98"/>
      <c r="JBJ130" s="98"/>
      <c r="JBK130" s="98"/>
      <c r="JBL130" s="98"/>
      <c r="JBM130" s="98"/>
      <c r="JBN130" s="98"/>
      <c r="JBO130" s="98"/>
      <c r="JBP130" s="98"/>
      <c r="JBQ130" s="98"/>
      <c r="JBR130" s="98"/>
      <c r="JBS130" s="98"/>
      <c r="JBT130" s="98"/>
      <c r="JBU130" s="98"/>
      <c r="JBV130" s="98"/>
      <c r="JBW130" s="98"/>
      <c r="JBX130" s="98"/>
      <c r="JBY130" s="98"/>
      <c r="JBZ130" s="98"/>
      <c r="JCA130" s="98"/>
      <c r="JCB130" s="98"/>
      <c r="JCC130" s="98"/>
      <c r="JCD130" s="98"/>
      <c r="JCE130" s="98"/>
      <c r="JCF130" s="98"/>
      <c r="JCG130" s="98"/>
      <c r="JCH130" s="98"/>
      <c r="JCI130" s="98"/>
      <c r="JCJ130" s="98"/>
      <c r="JCK130" s="98"/>
      <c r="JCL130" s="98"/>
      <c r="JCM130" s="98"/>
      <c r="JCN130" s="98"/>
      <c r="JCO130" s="98"/>
      <c r="JCP130" s="98"/>
      <c r="JCQ130" s="98"/>
      <c r="JCR130" s="98"/>
      <c r="JCS130" s="98"/>
      <c r="JCT130" s="98"/>
      <c r="JCU130" s="98"/>
      <c r="JCV130" s="98"/>
      <c r="JCW130" s="98"/>
      <c r="JCX130" s="98"/>
      <c r="JCY130" s="98"/>
      <c r="JCZ130" s="98"/>
      <c r="JDA130" s="98"/>
      <c r="JDB130" s="98"/>
      <c r="JDC130" s="98"/>
      <c r="JDD130" s="98"/>
      <c r="JDE130" s="98"/>
      <c r="JDF130" s="98"/>
      <c r="JDG130" s="98"/>
      <c r="JDH130" s="98"/>
      <c r="JDI130" s="98"/>
      <c r="JDJ130" s="98"/>
      <c r="JDK130" s="98"/>
      <c r="JDL130" s="98"/>
      <c r="JDM130" s="98"/>
      <c r="JDN130" s="98"/>
      <c r="JDO130" s="98"/>
      <c r="JDP130" s="98"/>
      <c r="JDQ130" s="98"/>
      <c r="JDR130" s="98"/>
      <c r="JDS130" s="98"/>
      <c r="JDT130" s="98"/>
      <c r="JDU130" s="98"/>
      <c r="JDV130" s="98"/>
      <c r="JDW130" s="98"/>
      <c r="JDX130" s="98"/>
      <c r="JDY130" s="98"/>
      <c r="JDZ130" s="98"/>
      <c r="JEA130" s="98"/>
      <c r="JEB130" s="98"/>
      <c r="JEC130" s="98"/>
      <c r="JED130" s="98"/>
      <c r="JEE130" s="98"/>
      <c r="JEF130" s="98"/>
      <c r="JEG130" s="98"/>
      <c r="JEH130" s="98"/>
      <c r="JEI130" s="98"/>
      <c r="JEJ130" s="98"/>
      <c r="JEK130" s="98"/>
      <c r="JEL130" s="98"/>
      <c r="JEM130" s="98"/>
      <c r="JEN130" s="98"/>
      <c r="JEO130" s="98"/>
      <c r="JEP130" s="98"/>
      <c r="JEQ130" s="98"/>
      <c r="JER130" s="98"/>
      <c r="JES130" s="98"/>
      <c r="JET130" s="98"/>
      <c r="JEU130" s="98"/>
      <c r="JEV130" s="98"/>
      <c r="JEW130" s="98"/>
      <c r="JEX130" s="98"/>
      <c r="JEY130" s="98"/>
      <c r="JEZ130" s="98"/>
      <c r="JFA130" s="98"/>
      <c r="JFB130" s="98"/>
      <c r="JFC130" s="98"/>
      <c r="JFD130" s="98"/>
      <c r="JFE130" s="98"/>
      <c r="JFF130" s="98"/>
      <c r="JFG130" s="98"/>
      <c r="JFH130" s="98"/>
      <c r="JFI130" s="98"/>
      <c r="JFJ130" s="98"/>
      <c r="JFK130" s="98"/>
      <c r="JFL130" s="98"/>
      <c r="JFM130" s="98"/>
      <c r="JFN130" s="98"/>
      <c r="JFO130" s="98"/>
      <c r="JFP130" s="98"/>
      <c r="JFQ130" s="98"/>
      <c r="JFR130" s="98"/>
      <c r="JFS130" s="98"/>
      <c r="JFT130" s="98"/>
      <c r="JFU130" s="98"/>
      <c r="JFV130" s="98"/>
      <c r="JFW130" s="98"/>
      <c r="JFX130" s="98"/>
      <c r="JFY130" s="98"/>
      <c r="JFZ130" s="98"/>
      <c r="JGA130" s="98"/>
      <c r="JGB130" s="98"/>
      <c r="JGC130" s="98"/>
      <c r="JGD130" s="98"/>
      <c r="JGE130" s="98"/>
      <c r="JGF130" s="98"/>
      <c r="JGG130" s="98"/>
      <c r="JGH130" s="98"/>
      <c r="JGI130" s="98"/>
      <c r="JGJ130" s="98"/>
      <c r="JGK130" s="98"/>
      <c r="JGL130" s="98"/>
      <c r="JGM130" s="98"/>
      <c r="JGN130" s="98"/>
      <c r="JGO130" s="98"/>
      <c r="JGP130" s="98"/>
      <c r="JGQ130" s="98"/>
      <c r="JGR130" s="98"/>
      <c r="JGS130" s="98"/>
      <c r="JGT130" s="98"/>
      <c r="JGU130" s="98"/>
      <c r="JGV130" s="98"/>
      <c r="JGW130" s="98"/>
      <c r="JGX130" s="98"/>
      <c r="JGY130" s="98"/>
      <c r="JGZ130" s="98"/>
      <c r="JHA130" s="98"/>
      <c r="JHB130" s="98"/>
      <c r="JHC130" s="98"/>
      <c r="JHD130" s="98"/>
      <c r="JHE130" s="98"/>
      <c r="JHF130" s="98"/>
      <c r="JHG130" s="98"/>
      <c r="JHH130" s="98"/>
      <c r="JHI130" s="98"/>
      <c r="JHJ130" s="98"/>
      <c r="JHK130" s="98"/>
      <c r="JHL130" s="98"/>
      <c r="JHM130" s="98"/>
      <c r="JHN130" s="98"/>
      <c r="JHO130" s="98"/>
      <c r="JHP130" s="98"/>
      <c r="JHQ130" s="98"/>
      <c r="JHR130" s="98"/>
      <c r="JHS130" s="98"/>
      <c r="JHT130" s="98"/>
      <c r="JHU130" s="98"/>
      <c r="JHV130" s="98"/>
      <c r="JHW130" s="98"/>
      <c r="JHX130" s="98"/>
      <c r="JHY130" s="98"/>
      <c r="JHZ130" s="98"/>
      <c r="JIA130" s="98"/>
      <c r="JIB130" s="98"/>
      <c r="JIC130" s="98"/>
      <c r="JID130" s="98"/>
      <c r="JIE130" s="98"/>
      <c r="JIF130" s="98"/>
      <c r="JIG130" s="98"/>
      <c r="JIH130" s="98"/>
      <c r="JII130" s="98"/>
      <c r="JIJ130" s="98"/>
      <c r="JIK130" s="98"/>
      <c r="JIL130" s="98"/>
      <c r="JIM130" s="98"/>
      <c r="JIN130" s="98"/>
      <c r="JIO130" s="98"/>
      <c r="JIP130" s="98"/>
      <c r="JIQ130" s="98"/>
      <c r="JIR130" s="98"/>
      <c r="JIS130" s="98"/>
      <c r="JIT130" s="98"/>
      <c r="JIU130" s="98"/>
      <c r="JIV130" s="98"/>
      <c r="JIW130" s="98"/>
      <c r="JIX130" s="98"/>
      <c r="JIY130" s="98"/>
      <c r="JIZ130" s="98"/>
      <c r="JJA130" s="98"/>
      <c r="JJB130" s="98"/>
      <c r="JJC130" s="98"/>
      <c r="JJD130" s="98"/>
      <c r="JJE130" s="98"/>
      <c r="JJF130" s="98"/>
      <c r="JJG130" s="98"/>
      <c r="JJH130" s="98"/>
      <c r="JJI130" s="98"/>
      <c r="JJJ130" s="98"/>
      <c r="JJK130" s="98"/>
      <c r="JJL130" s="98"/>
      <c r="JJM130" s="98"/>
      <c r="JJN130" s="98"/>
      <c r="JJO130" s="98"/>
      <c r="JJP130" s="98"/>
      <c r="JJQ130" s="98"/>
      <c r="JJR130" s="98"/>
      <c r="JJS130" s="98"/>
      <c r="JJT130" s="98"/>
      <c r="JJU130" s="98"/>
      <c r="JJV130" s="98"/>
      <c r="JJW130" s="98"/>
      <c r="JJX130" s="98"/>
      <c r="JJY130" s="98"/>
      <c r="JJZ130" s="98"/>
      <c r="JKA130" s="98"/>
      <c r="JKB130" s="98"/>
      <c r="JKC130" s="98"/>
      <c r="JKD130" s="98"/>
      <c r="JKE130" s="98"/>
      <c r="JKF130" s="98"/>
      <c r="JKG130" s="98"/>
      <c r="JKH130" s="98"/>
      <c r="JKI130" s="98"/>
      <c r="JKJ130" s="98"/>
      <c r="JKK130" s="98"/>
      <c r="JKL130" s="98"/>
      <c r="JKM130" s="98"/>
      <c r="JKN130" s="98"/>
      <c r="JKO130" s="98"/>
      <c r="JKP130" s="98"/>
      <c r="JKQ130" s="98"/>
      <c r="JKR130" s="98"/>
      <c r="JKS130" s="98"/>
      <c r="JKT130" s="98"/>
      <c r="JKU130" s="98"/>
      <c r="JKV130" s="98"/>
      <c r="JKW130" s="98"/>
      <c r="JKX130" s="98"/>
      <c r="JKY130" s="98"/>
      <c r="JKZ130" s="98"/>
      <c r="JLA130" s="98"/>
      <c r="JLB130" s="98"/>
      <c r="JLC130" s="98"/>
      <c r="JLD130" s="98"/>
      <c r="JLE130" s="98"/>
      <c r="JLF130" s="98"/>
      <c r="JLG130" s="98"/>
      <c r="JLH130" s="98"/>
      <c r="JLI130" s="98"/>
      <c r="JLJ130" s="98"/>
      <c r="JLK130" s="98"/>
      <c r="JLL130" s="98"/>
      <c r="JLM130" s="98"/>
      <c r="JLN130" s="98"/>
      <c r="JLO130" s="98"/>
      <c r="JLP130" s="98"/>
      <c r="JLQ130" s="98"/>
      <c r="JLR130" s="98"/>
      <c r="JLS130" s="98"/>
      <c r="JLT130" s="98"/>
      <c r="JLU130" s="98"/>
      <c r="JLV130" s="98"/>
      <c r="JLW130" s="98"/>
      <c r="JLX130" s="98"/>
      <c r="JLY130" s="98"/>
      <c r="JLZ130" s="98"/>
      <c r="JMA130" s="98"/>
      <c r="JMB130" s="98"/>
      <c r="JMC130" s="98"/>
      <c r="JMD130" s="98"/>
      <c r="JME130" s="98"/>
      <c r="JMF130" s="98"/>
      <c r="JMG130" s="98"/>
      <c r="JMH130" s="98"/>
      <c r="JMI130" s="98"/>
      <c r="JMJ130" s="98"/>
      <c r="JMK130" s="98"/>
      <c r="JML130" s="98"/>
      <c r="JMM130" s="98"/>
      <c r="JMN130" s="98"/>
      <c r="JMO130" s="98"/>
      <c r="JMP130" s="98"/>
      <c r="JMQ130" s="98"/>
      <c r="JMR130" s="98"/>
      <c r="JMS130" s="98"/>
      <c r="JMT130" s="98"/>
      <c r="JMU130" s="98"/>
      <c r="JMV130" s="98"/>
      <c r="JMW130" s="98"/>
      <c r="JMX130" s="98"/>
      <c r="JMY130" s="98"/>
      <c r="JMZ130" s="98"/>
      <c r="JNA130" s="98"/>
      <c r="JNB130" s="98"/>
      <c r="JNC130" s="98"/>
      <c r="JND130" s="98"/>
      <c r="JNE130" s="98"/>
      <c r="JNF130" s="98"/>
      <c r="JNG130" s="98"/>
      <c r="JNH130" s="98"/>
      <c r="JNI130" s="98"/>
      <c r="JNJ130" s="98"/>
      <c r="JNK130" s="98"/>
      <c r="JNL130" s="98"/>
      <c r="JNM130" s="98"/>
      <c r="JNN130" s="98"/>
      <c r="JNO130" s="98"/>
      <c r="JNP130" s="98"/>
      <c r="JNQ130" s="98"/>
      <c r="JNR130" s="98"/>
      <c r="JNS130" s="98"/>
      <c r="JNT130" s="98"/>
      <c r="JNU130" s="98"/>
      <c r="JNV130" s="98"/>
      <c r="JNW130" s="98"/>
      <c r="JNX130" s="98"/>
      <c r="JNY130" s="98"/>
      <c r="JNZ130" s="98"/>
      <c r="JOA130" s="98"/>
      <c r="JOB130" s="98"/>
      <c r="JOC130" s="98"/>
      <c r="JOD130" s="98"/>
      <c r="JOE130" s="98"/>
      <c r="JOF130" s="98"/>
      <c r="JOG130" s="98"/>
      <c r="JOH130" s="98"/>
      <c r="JOI130" s="98"/>
      <c r="JOJ130" s="98"/>
      <c r="JOK130" s="98"/>
      <c r="JOL130" s="98"/>
      <c r="JOM130" s="98"/>
      <c r="JON130" s="98"/>
      <c r="JOO130" s="98"/>
      <c r="JOP130" s="98"/>
      <c r="JOQ130" s="98"/>
      <c r="JOR130" s="98"/>
      <c r="JOS130" s="98"/>
      <c r="JOT130" s="98"/>
      <c r="JOU130" s="98"/>
      <c r="JOV130" s="98"/>
      <c r="JOW130" s="98"/>
      <c r="JOX130" s="98"/>
      <c r="JOY130" s="98"/>
      <c r="JOZ130" s="98"/>
      <c r="JPA130" s="98"/>
      <c r="JPB130" s="98"/>
      <c r="JPC130" s="98"/>
      <c r="JPD130" s="98"/>
      <c r="JPE130" s="98"/>
      <c r="JPF130" s="98"/>
      <c r="JPG130" s="98"/>
      <c r="JPH130" s="98"/>
      <c r="JPI130" s="98"/>
      <c r="JPJ130" s="98"/>
      <c r="JPK130" s="98"/>
      <c r="JPL130" s="98"/>
      <c r="JPM130" s="98"/>
      <c r="JPN130" s="98"/>
      <c r="JPO130" s="98"/>
      <c r="JPP130" s="98"/>
      <c r="JPQ130" s="98"/>
      <c r="JPR130" s="98"/>
      <c r="JPS130" s="98"/>
      <c r="JPT130" s="98"/>
      <c r="JPU130" s="98"/>
      <c r="JPV130" s="98"/>
      <c r="JPW130" s="98"/>
      <c r="JPX130" s="98"/>
      <c r="JPY130" s="98"/>
      <c r="JPZ130" s="98"/>
      <c r="JQA130" s="98"/>
      <c r="JQB130" s="98"/>
      <c r="JQC130" s="98"/>
      <c r="JQD130" s="98"/>
      <c r="JQE130" s="98"/>
      <c r="JQF130" s="98"/>
      <c r="JQG130" s="98"/>
      <c r="JQH130" s="98"/>
      <c r="JQI130" s="98"/>
      <c r="JQJ130" s="98"/>
      <c r="JQK130" s="98"/>
      <c r="JQL130" s="98"/>
      <c r="JQM130" s="98"/>
      <c r="JQN130" s="98"/>
      <c r="JQO130" s="98"/>
      <c r="JQP130" s="98"/>
      <c r="JQQ130" s="98"/>
      <c r="JQR130" s="98"/>
      <c r="JQS130" s="98"/>
      <c r="JQT130" s="98"/>
      <c r="JQU130" s="98"/>
      <c r="JQV130" s="98"/>
      <c r="JQW130" s="98"/>
      <c r="JQX130" s="98"/>
      <c r="JQY130" s="98"/>
      <c r="JQZ130" s="98"/>
      <c r="JRA130" s="98"/>
      <c r="JRB130" s="98"/>
      <c r="JRC130" s="98"/>
      <c r="JRD130" s="98"/>
      <c r="JRE130" s="98"/>
      <c r="JRF130" s="98"/>
      <c r="JRG130" s="98"/>
      <c r="JRH130" s="98"/>
      <c r="JRI130" s="98"/>
      <c r="JRJ130" s="98"/>
      <c r="JRK130" s="98"/>
      <c r="JRL130" s="98"/>
      <c r="JRM130" s="98"/>
      <c r="JRN130" s="98"/>
      <c r="JRO130" s="98"/>
      <c r="JRP130" s="98"/>
      <c r="JRQ130" s="98"/>
      <c r="JRR130" s="98"/>
      <c r="JRS130" s="98"/>
      <c r="JRT130" s="98"/>
      <c r="JRU130" s="98"/>
      <c r="JRV130" s="98"/>
      <c r="JRW130" s="98"/>
      <c r="JRX130" s="98"/>
      <c r="JRY130" s="98"/>
      <c r="JRZ130" s="98"/>
      <c r="JSA130" s="98"/>
      <c r="JSB130" s="98"/>
      <c r="JSC130" s="98"/>
      <c r="JSD130" s="98"/>
      <c r="JSE130" s="98"/>
      <c r="JSF130" s="98"/>
      <c r="JSG130" s="98"/>
      <c r="JSH130" s="98"/>
      <c r="JSI130" s="98"/>
      <c r="JSJ130" s="98"/>
      <c r="JSK130" s="98"/>
      <c r="JSL130" s="98"/>
      <c r="JSM130" s="98"/>
      <c r="JSN130" s="98"/>
      <c r="JSO130" s="98"/>
      <c r="JSP130" s="98"/>
      <c r="JSQ130" s="98"/>
      <c r="JSR130" s="98"/>
      <c r="JSS130" s="98"/>
      <c r="JST130" s="98"/>
      <c r="JSU130" s="98"/>
      <c r="JSV130" s="98"/>
      <c r="JSW130" s="98"/>
      <c r="JSX130" s="98"/>
      <c r="JSY130" s="98"/>
      <c r="JSZ130" s="98"/>
      <c r="JTA130" s="98"/>
      <c r="JTB130" s="98"/>
      <c r="JTC130" s="98"/>
      <c r="JTD130" s="98"/>
      <c r="JTE130" s="98"/>
      <c r="JTF130" s="98"/>
      <c r="JTG130" s="98"/>
      <c r="JTH130" s="98"/>
      <c r="JTI130" s="98"/>
      <c r="JTJ130" s="98"/>
      <c r="JTK130" s="98"/>
      <c r="JTL130" s="98"/>
      <c r="JTM130" s="98"/>
      <c r="JTN130" s="98"/>
      <c r="JTO130" s="98"/>
      <c r="JTP130" s="98"/>
      <c r="JTQ130" s="98"/>
      <c r="JTR130" s="98"/>
      <c r="JTS130" s="98"/>
      <c r="JTT130" s="98"/>
      <c r="JTU130" s="98"/>
      <c r="JTV130" s="98"/>
      <c r="JTW130" s="98"/>
      <c r="JTX130" s="98"/>
      <c r="JTY130" s="98"/>
      <c r="JTZ130" s="98"/>
      <c r="JUA130" s="98"/>
      <c r="JUB130" s="98"/>
      <c r="JUC130" s="98"/>
      <c r="JUD130" s="98"/>
      <c r="JUE130" s="98"/>
      <c r="JUF130" s="98"/>
      <c r="JUG130" s="98"/>
      <c r="JUH130" s="98"/>
      <c r="JUI130" s="98"/>
      <c r="JUJ130" s="98"/>
      <c r="JUK130" s="98"/>
      <c r="JUL130" s="98"/>
      <c r="JUM130" s="98"/>
      <c r="JUN130" s="98"/>
      <c r="JUO130" s="98"/>
      <c r="JUP130" s="98"/>
      <c r="JUQ130" s="98"/>
      <c r="JUR130" s="98"/>
      <c r="JUS130" s="98"/>
      <c r="JUT130" s="98"/>
      <c r="JUU130" s="98"/>
      <c r="JUV130" s="98"/>
      <c r="JUW130" s="98"/>
      <c r="JUX130" s="98"/>
      <c r="JUY130" s="98"/>
      <c r="JUZ130" s="98"/>
      <c r="JVA130" s="98"/>
      <c r="JVB130" s="98"/>
      <c r="JVC130" s="98"/>
      <c r="JVD130" s="98"/>
      <c r="JVE130" s="98"/>
      <c r="JVF130" s="98"/>
      <c r="JVG130" s="98"/>
      <c r="JVH130" s="98"/>
      <c r="JVI130" s="98"/>
      <c r="JVJ130" s="98"/>
      <c r="JVK130" s="98"/>
      <c r="JVL130" s="98"/>
      <c r="JVM130" s="98"/>
      <c r="JVN130" s="98"/>
      <c r="JVO130" s="98"/>
      <c r="JVP130" s="98"/>
      <c r="JVQ130" s="98"/>
      <c r="JVR130" s="98"/>
      <c r="JVS130" s="98"/>
      <c r="JVT130" s="98"/>
      <c r="JVU130" s="98"/>
      <c r="JVV130" s="98"/>
      <c r="JVW130" s="98"/>
      <c r="JVX130" s="98"/>
      <c r="JVY130" s="98"/>
      <c r="JVZ130" s="98"/>
      <c r="JWA130" s="98"/>
      <c r="JWB130" s="98"/>
      <c r="JWC130" s="98"/>
      <c r="JWD130" s="98"/>
      <c r="JWE130" s="98"/>
      <c r="JWF130" s="98"/>
      <c r="JWG130" s="98"/>
      <c r="JWH130" s="98"/>
      <c r="JWI130" s="98"/>
      <c r="JWJ130" s="98"/>
      <c r="JWK130" s="98"/>
      <c r="JWL130" s="98"/>
      <c r="JWM130" s="98"/>
      <c r="JWN130" s="98"/>
      <c r="JWO130" s="98"/>
      <c r="JWP130" s="98"/>
      <c r="JWQ130" s="98"/>
      <c r="JWR130" s="98"/>
      <c r="JWS130" s="98"/>
      <c r="JWT130" s="98"/>
      <c r="JWU130" s="98"/>
      <c r="JWV130" s="98"/>
      <c r="JWW130" s="98"/>
      <c r="JWX130" s="98"/>
      <c r="JWY130" s="98"/>
      <c r="JWZ130" s="98"/>
      <c r="JXA130" s="98"/>
      <c r="JXB130" s="98"/>
      <c r="JXC130" s="98"/>
      <c r="JXD130" s="98"/>
      <c r="JXE130" s="98"/>
      <c r="JXF130" s="98"/>
      <c r="JXG130" s="98"/>
      <c r="JXH130" s="98"/>
      <c r="JXI130" s="98"/>
      <c r="JXJ130" s="98"/>
      <c r="JXK130" s="98"/>
      <c r="JXL130" s="98"/>
      <c r="JXM130" s="98"/>
      <c r="JXN130" s="98"/>
      <c r="JXO130" s="98"/>
      <c r="JXP130" s="98"/>
      <c r="JXQ130" s="98"/>
      <c r="JXR130" s="98"/>
      <c r="JXS130" s="98"/>
      <c r="JXT130" s="98"/>
      <c r="JXU130" s="98"/>
      <c r="JXV130" s="98"/>
      <c r="JXW130" s="98"/>
      <c r="JXX130" s="98"/>
      <c r="JXY130" s="98"/>
      <c r="JXZ130" s="98"/>
      <c r="JYA130" s="98"/>
      <c r="JYB130" s="98"/>
      <c r="JYC130" s="98"/>
      <c r="JYD130" s="98"/>
      <c r="JYE130" s="98"/>
      <c r="JYF130" s="98"/>
      <c r="JYG130" s="98"/>
      <c r="JYH130" s="98"/>
      <c r="JYI130" s="98"/>
      <c r="JYJ130" s="98"/>
      <c r="JYK130" s="98"/>
      <c r="JYL130" s="98"/>
      <c r="JYM130" s="98"/>
      <c r="JYN130" s="98"/>
      <c r="JYO130" s="98"/>
      <c r="JYP130" s="98"/>
      <c r="JYQ130" s="98"/>
      <c r="JYR130" s="98"/>
      <c r="JYS130" s="98"/>
      <c r="JYT130" s="98"/>
      <c r="JYU130" s="98"/>
      <c r="JYV130" s="98"/>
      <c r="JYW130" s="98"/>
      <c r="JYX130" s="98"/>
      <c r="JYY130" s="98"/>
      <c r="JYZ130" s="98"/>
      <c r="JZA130" s="98"/>
      <c r="JZB130" s="98"/>
      <c r="JZC130" s="98"/>
      <c r="JZD130" s="98"/>
      <c r="JZE130" s="98"/>
      <c r="JZF130" s="98"/>
      <c r="JZG130" s="98"/>
      <c r="JZH130" s="98"/>
      <c r="JZI130" s="98"/>
      <c r="JZJ130" s="98"/>
      <c r="JZK130" s="98"/>
      <c r="JZL130" s="98"/>
      <c r="JZM130" s="98"/>
      <c r="JZN130" s="98"/>
      <c r="JZO130" s="98"/>
      <c r="JZP130" s="98"/>
      <c r="JZQ130" s="98"/>
      <c r="JZR130" s="98"/>
      <c r="JZS130" s="98"/>
      <c r="JZT130" s="98"/>
      <c r="JZU130" s="98"/>
      <c r="JZV130" s="98"/>
      <c r="JZW130" s="98"/>
      <c r="JZX130" s="98"/>
      <c r="JZY130" s="98"/>
      <c r="JZZ130" s="98"/>
      <c r="KAA130" s="98"/>
      <c r="KAB130" s="98"/>
      <c r="KAC130" s="98"/>
      <c r="KAD130" s="98"/>
      <c r="KAE130" s="98"/>
      <c r="KAF130" s="98"/>
      <c r="KAG130" s="98"/>
      <c r="KAH130" s="98"/>
      <c r="KAI130" s="98"/>
      <c r="KAJ130" s="98"/>
      <c r="KAK130" s="98"/>
      <c r="KAL130" s="98"/>
      <c r="KAM130" s="98"/>
      <c r="KAN130" s="98"/>
      <c r="KAO130" s="98"/>
      <c r="KAP130" s="98"/>
      <c r="KAQ130" s="98"/>
      <c r="KAR130" s="98"/>
      <c r="KAS130" s="98"/>
      <c r="KAT130" s="98"/>
      <c r="KAU130" s="98"/>
      <c r="KAV130" s="98"/>
      <c r="KAW130" s="98"/>
      <c r="KAX130" s="98"/>
      <c r="KAY130" s="98"/>
      <c r="KAZ130" s="98"/>
      <c r="KBA130" s="98"/>
      <c r="KBB130" s="98"/>
      <c r="KBC130" s="98"/>
      <c r="KBD130" s="98"/>
      <c r="KBE130" s="98"/>
      <c r="KBF130" s="98"/>
      <c r="KBG130" s="98"/>
      <c r="KBH130" s="98"/>
      <c r="KBI130" s="98"/>
      <c r="KBJ130" s="98"/>
      <c r="KBK130" s="98"/>
      <c r="KBL130" s="98"/>
      <c r="KBM130" s="98"/>
      <c r="KBN130" s="98"/>
      <c r="KBO130" s="98"/>
      <c r="KBP130" s="98"/>
      <c r="KBQ130" s="98"/>
      <c r="KBR130" s="98"/>
      <c r="KBS130" s="98"/>
      <c r="KBT130" s="98"/>
      <c r="KBU130" s="98"/>
      <c r="KBV130" s="98"/>
      <c r="KBW130" s="98"/>
      <c r="KBX130" s="98"/>
      <c r="KBY130" s="98"/>
      <c r="KBZ130" s="98"/>
      <c r="KCA130" s="98"/>
      <c r="KCB130" s="98"/>
      <c r="KCC130" s="98"/>
      <c r="KCD130" s="98"/>
      <c r="KCE130" s="98"/>
      <c r="KCF130" s="98"/>
      <c r="KCG130" s="98"/>
      <c r="KCH130" s="98"/>
      <c r="KCI130" s="98"/>
      <c r="KCJ130" s="98"/>
      <c r="KCK130" s="98"/>
      <c r="KCL130" s="98"/>
      <c r="KCM130" s="98"/>
      <c r="KCN130" s="98"/>
      <c r="KCO130" s="98"/>
      <c r="KCP130" s="98"/>
      <c r="KCQ130" s="98"/>
      <c r="KCR130" s="98"/>
      <c r="KCS130" s="98"/>
      <c r="KCT130" s="98"/>
      <c r="KCU130" s="98"/>
      <c r="KCV130" s="98"/>
      <c r="KCW130" s="98"/>
      <c r="KCX130" s="98"/>
      <c r="KCY130" s="98"/>
      <c r="KCZ130" s="98"/>
      <c r="KDA130" s="98"/>
      <c r="KDB130" s="98"/>
      <c r="KDC130" s="98"/>
      <c r="KDD130" s="98"/>
      <c r="KDE130" s="98"/>
      <c r="KDF130" s="98"/>
      <c r="KDG130" s="98"/>
      <c r="KDH130" s="98"/>
      <c r="KDI130" s="98"/>
      <c r="KDJ130" s="98"/>
      <c r="KDK130" s="98"/>
      <c r="KDL130" s="98"/>
      <c r="KDM130" s="98"/>
      <c r="KDN130" s="98"/>
      <c r="KDO130" s="98"/>
      <c r="KDP130" s="98"/>
      <c r="KDQ130" s="98"/>
      <c r="KDR130" s="98"/>
      <c r="KDS130" s="98"/>
      <c r="KDT130" s="98"/>
      <c r="KDU130" s="98"/>
      <c r="KDV130" s="98"/>
      <c r="KDW130" s="98"/>
      <c r="KDX130" s="98"/>
      <c r="KDY130" s="98"/>
      <c r="KDZ130" s="98"/>
      <c r="KEA130" s="98"/>
      <c r="KEB130" s="98"/>
      <c r="KEC130" s="98"/>
      <c r="KED130" s="98"/>
      <c r="KEE130" s="98"/>
      <c r="KEF130" s="98"/>
      <c r="KEG130" s="98"/>
      <c r="KEH130" s="98"/>
      <c r="KEI130" s="98"/>
      <c r="KEJ130" s="98"/>
      <c r="KEK130" s="98"/>
      <c r="KEL130" s="98"/>
      <c r="KEM130" s="98"/>
      <c r="KEN130" s="98"/>
      <c r="KEO130" s="98"/>
      <c r="KEP130" s="98"/>
      <c r="KEQ130" s="98"/>
      <c r="KER130" s="98"/>
      <c r="KES130" s="98"/>
      <c r="KET130" s="98"/>
      <c r="KEU130" s="98"/>
      <c r="KEV130" s="98"/>
      <c r="KEW130" s="98"/>
      <c r="KEX130" s="98"/>
      <c r="KEY130" s="98"/>
      <c r="KEZ130" s="98"/>
      <c r="KFA130" s="98"/>
      <c r="KFB130" s="98"/>
      <c r="KFC130" s="98"/>
      <c r="KFD130" s="98"/>
      <c r="KFE130" s="98"/>
      <c r="KFF130" s="98"/>
      <c r="KFG130" s="98"/>
      <c r="KFH130" s="98"/>
      <c r="KFI130" s="98"/>
      <c r="KFJ130" s="98"/>
      <c r="KFK130" s="98"/>
      <c r="KFL130" s="98"/>
      <c r="KFM130" s="98"/>
      <c r="KFN130" s="98"/>
      <c r="KFO130" s="98"/>
      <c r="KFP130" s="98"/>
      <c r="KFQ130" s="98"/>
      <c r="KFR130" s="98"/>
      <c r="KFS130" s="98"/>
      <c r="KFT130" s="98"/>
      <c r="KFU130" s="98"/>
      <c r="KFV130" s="98"/>
      <c r="KFW130" s="98"/>
      <c r="KFX130" s="98"/>
      <c r="KFY130" s="98"/>
      <c r="KFZ130" s="98"/>
      <c r="KGA130" s="98"/>
      <c r="KGB130" s="98"/>
      <c r="KGC130" s="98"/>
      <c r="KGD130" s="98"/>
      <c r="KGE130" s="98"/>
      <c r="KGF130" s="98"/>
      <c r="KGG130" s="98"/>
      <c r="KGH130" s="98"/>
      <c r="KGI130" s="98"/>
      <c r="KGJ130" s="98"/>
      <c r="KGK130" s="98"/>
      <c r="KGL130" s="98"/>
      <c r="KGM130" s="98"/>
      <c r="KGN130" s="98"/>
      <c r="KGO130" s="98"/>
      <c r="KGP130" s="98"/>
      <c r="KGQ130" s="98"/>
      <c r="KGR130" s="98"/>
      <c r="KGS130" s="98"/>
      <c r="KGT130" s="98"/>
      <c r="KGU130" s="98"/>
      <c r="KGV130" s="98"/>
      <c r="KGW130" s="98"/>
      <c r="KGX130" s="98"/>
      <c r="KGY130" s="98"/>
      <c r="KGZ130" s="98"/>
      <c r="KHA130" s="98"/>
      <c r="KHB130" s="98"/>
      <c r="KHC130" s="98"/>
      <c r="KHD130" s="98"/>
      <c r="KHE130" s="98"/>
      <c r="KHF130" s="98"/>
      <c r="KHG130" s="98"/>
      <c r="KHH130" s="98"/>
      <c r="KHI130" s="98"/>
      <c r="KHJ130" s="98"/>
      <c r="KHK130" s="98"/>
      <c r="KHL130" s="98"/>
      <c r="KHM130" s="98"/>
      <c r="KHN130" s="98"/>
      <c r="KHO130" s="98"/>
      <c r="KHP130" s="98"/>
      <c r="KHQ130" s="98"/>
      <c r="KHR130" s="98"/>
      <c r="KHS130" s="98"/>
      <c r="KHT130" s="98"/>
      <c r="KHU130" s="98"/>
      <c r="KHV130" s="98"/>
      <c r="KHW130" s="98"/>
      <c r="KHX130" s="98"/>
      <c r="KHY130" s="98"/>
      <c r="KHZ130" s="98"/>
      <c r="KIA130" s="98"/>
      <c r="KIB130" s="98"/>
      <c r="KIC130" s="98"/>
      <c r="KID130" s="98"/>
      <c r="KIE130" s="98"/>
      <c r="KIF130" s="98"/>
      <c r="KIG130" s="98"/>
      <c r="KIH130" s="98"/>
      <c r="KII130" s="98"/>
      <c r="KIJ130" s="98"/>
      <c r="KIK130" s="98"/>
      <c r="KIL130" s="98"/>
      <c r="KIM130" s="98"/>
      <c r="KIN130" s="98"/>
      <c r="KIO130" s="98"/>
      <c r="KIP130" s="98"/>
      <c r="KIQ130" s="98"/>
      <c r="KIR130" s="98"/>
      <c r="KIS130" s="98"/>
      <c r="KIT130" s="98"/>
      <c r="KIU130" s="98"/>
      <c r="KIV130" s="98"/>
      <c r="KIW130" s="98"/>
      <c r="KIX130" s="98"/>
      <c r="KIY130" s="98"/>
      <c r="KIZ130" s="98"/>
      <c r="KJA130" s="98"/>
      <c r="KJB130" s="98"/>
      <c r="KJC130" s="98"/>
      <c r="KJD130" s="98"/>
      <c r="KJE130" s="98"/>
      <c r="KJF130" s="98"/>
      <c r="KJG130" s="98"/>
      <c r="KJH130" s="98"/>
      <c r="KJI130" s="98"/>
      <c r="KJJ130" s="98"/>
      <c r="KJK130" s="98"/>
      <c r="KJL130" s="98"/>
      <c r="KJM130" s="98"/>
      <c r="KJN130" s="98"/>
      <c r="KJO130" s="98"/>
      <c r="KJP130" s="98"/>
      <c r="KJQ130" s="98"/>
      <c r="KJR130" s="98"/>
      <c r="KJS130" s="98"/>
      <c r="KJT130" s="98"/>
      <c r="KJU130" s="98"/>
      <c r="KJV130" s="98"/>
      <c r="KJW130" s="98"/>
      <c r="KJX130" s="98"/>
      <c r="KJY130" s="98"/>
      <c r="KJZ130" s="98"/>
      <c r="KKA130" s="98"/>
      <c r="KKB130" s="98"/>
      <c r="KKC130" s="98"/>
      <c r="KKD130" s="98"/>
      <c r="KKE130" s="98"/>
      <c r="KKF130" s="98"/>
      <c r="KKG130" s="98"/>
      <c r="KKH130" s="98"/>
      <c r="KKI130" s="98"/>
      <c r="KKJ130" s="98"/>
      <c r="KKK130" s="98"/>
      <c r="KKL130" s="98"/>
      <c r="KKM130" s="98"/>
      <c r="KKN130" s="98"/>
      <c r="KKO130" s="98"/>
      <c r="KKP130" s="98"/>
      <c r="KKQ130" s="98"/>
      <c r="KKR130" s="98"/>
      <c r="KKS130" s="98"/>
      <c r="KKT130" s="98"/>
      <c r="KKU130" s="98"/>
      <c r="KKV130" s="98"/>
      <c r="KKW130" s="98"/>
      <c r="KKX130" s="98"/>
      <c r="KKY130" s="98"/>
      <c r="KKZ130" s="98"/>
      <c r="KLA130" s="98"/>
      <c r="KLB130" s="98"/>
      <c r="KLC130" s="98"/>
      <c r="KLD130" s="98"/>
      <c r="KLE130" s="98"/>
      <c r="KLF130" s="98"/>
      <c r="KLG130" s="98"/>
      <c r="KLH130" s="98"/>
      <c r="KLI130" s="98"/>
      <c r="KLJ130" s="98"/>
      <c r="KLK130" s="98"/>
      <c r="KLL130" s="98"/>
      <c r="KLM130" s="98"/>
      <c r="KLN130" s="98"/>
      <c r="KLO130" s="98"/>
      <c r="KLP130" s="98"/>
      <c r="KLQ130" s="98"/>
      <c r="KLR130" s="98"/>
      <c r="KLS130" s="98"/>
      <c r="KLT130" s="98"/>
      <c r="KLU130" s="98"/>
      <c r="KLV130" s="98"/>
      <c r="KLW130" s="98"/>
      <c r="KLX130" s="98"/>
      <c r="KLY130" s="98"/>
      <c r="KLZ130" s="98"/>
      <c r="KMA130" s="98"/>
      <c r="KMB130" s="98"/>
      <c r="KMC130" s="98"/>
      <c r="KMD130" s="98"/>
      <c r="KME130" s="98"/>
      <c r="KMF130" s="98"/>
      <c r="KMG130" s="98"/>
      <c r="KMH130" s="98"/>
      <c r="KMI130" s="98"/>
      <c r="KMJ130" s="98"/>
      <c r="KMK130" s="98"/>
      <c r="KML130" s="98"/>
      <c r="KMM130" s="98"/>
      <c r="KMN130" s="98"/>
      <c r="KMO130" s="98"/>
      <c r="KMP130" s="98"/>
      <c r="KMQ130" s="98"/>
      <c r="KMR130" s="98"/>
      <c r="KMS130" s="98"/>
      <c r="KMT130" s="98"/>
      <c r="KMU130" s="98"/>
      <c r="KMV130" s="98"/>
      <c r="KMW130" s="98"/>
      <c r="KMX130" s="98"/>
      <c r="KMY130" s="98"/>
      <c r="KMZ130" s="98"/>
      <c r="KNA130" s="98"/>
      <c r="KNB130" s="98"/>
      <c r="KNC130" s="98"/>
      <c r="KND130" s="98"/>
      <c r="KNE130" s="98"/>
      <c r="KNF130" s="98"/>
      <c r="KNG130" s="98"/>
      <c r="KNH130" s="98"/>
      <c r="KNI130" s="98"/>
      <c r="KNJ130" s="98"/>
      <c r="KNK130" s="98"/>
      <c r="KNL130" s="98"/>
      <c r="KNM130" s="98"/>
      <c r="KNN130" s="98"/>
      <c r="KNO130" s="98"/>
      <c r="KNP130" s="98"/>
      <c r="KNQ130" s="98"/>
      <c r="KNR130" s="98"/>
      <c r="KNS130" s="98"/>
      <c r="KNT130" s="98"/>
      <c r="KNU130" s="98"/>
      <c r="KNV130" s="98"/>
      <c r="KNW130" s="98"/>
      <c r="KNX130" s="98"/>
      <c r="KNY130" s="98"/>
      <c r="KNZ130" s="98"/>
      <c r="KOA130" s="98"/>
      <c r="KOB130" s="98"/>
      <c r="KOC130" s="98"/>
      <c r="KOD130" s="98"/>
      <c r="KOE130" s="98"/>
      <c r="KOF130" s="98"/>
      <c r="KOG130" s="98"/>
      <c r="KOH130" s="98"/>
      <c r="KOI130" s="98"/>
      <c r="KOJ130" s="98"/>
      <c r="KOK130" s="98"/>
      <c r="KOL130" s="98"/>
      <c r="KOM130" s="98"/>
      <c r="KON130" s="98"/>
      <c r="KOO130" s="98"/>
      <c r="KOP130" s="98"/>
      <c r="KOQ130" s="98"/>
      <c r="KOR130" s="98"/>
      <c r="KOS130" s="98"/>
      <c r="KOT130" s="98"/>
      <c r="KOU130" s="98"/>
      <c r="KOV130" s="98"/>
      <c r="KOW130" s="98"/>
      <c r="KOX130" s="98"/>
      <c r="KOY130" s="98"/>
      <c r="KOZ130" s="98"/>
      <c r="KPA130" s="98"/>
      <c r="KPB130" s="98"/>
      <c r="KPC130" s="98"/>
      <c r="KPD130" s="98"/>
      <c r="KPE130" s="98"/>
      <c r="KPF130" s="98"/>
      <c r="KPG130" s="98"/>
      <c r="KPH130" s="98"/>
      <c r="KPI130" s="98"/>
      <c r="KPJ130" s="98"/>
      <c r="KPK130" s="98"/>
      <c r="KPL130" s="98"/>
      <c r="KPM130" s="98"/>
      <c r="KPN130" s="98"/>
      <c r="KPO130" s="98"/>
      <c r="KPP130" s="98"/>
      <c r="KPQ130" s="98"/>
      <c r="KPR130" s="98"/>
      <c r="KPS130" s="98"/>
      <c r="KPT130" s="98"/>
      <c r="KPU130" s="98"/>
      <c r="KPV130" s="98"/>
      <c r="KPW130" s="98"/>
      <c r="KPX130" s="98"/>
      <c r="KPY130" s="98"/>
      <c r="KPZ130" s="98"/>
      <c r="KQA130" s="98"/>
      <c r="KQB130" s="98"/>
      <c r="KQC130" s="98"/>
      <c r="KQD130" s="98"/>
      <c r="KQE130" s="98"/>
      <c r="KQF130" s="98"/>
      <c r="KQG130" s="98"/>
      <c r="KQH130" s="98"/>
      <c r="KQI130" s="98"/>
      <c r="KQJ130" s="98"/>
      <c r="KQK130" s="98"/>
      <c r="KQL130" s="98"/>
      <c r="KQM130" s="98"/>
      <c r="KQN130" s="98"/>
      <c r="KQO130" s="98"/>
      <c r="KQP130" s="98"/>
      <c r="KQQ130" s="98"/>
      <c r="KQR130" s="98"/>
      <c r="KQS130" s="98"/>
      <c r="KQT130" s="98"/>
      <c r="KQU130" s="98"/>
      <c r="KQV130" s="98"/>
      <c r="KQW130" s="98"/>
      <c r="KQX130" s="98"/>
      <c r="KQY130" s="98"/>
      <c r="KQZ130" s="98"/>
      <c r="KRA130" s="98"/>
      <c r="KRB130" s="98"/>
      <c r="KRC130" s="98"/>
      <c r="KRD130" s="98"/>
      <c r="KRE130" s="98"/>
      <c r="KRF130" s="98"/>
      <c r="KRG130" s="98"/>
      <c r="KRH130" s="98"/>
      <c r="KRI130" s="98"/>
      <c r="KRJ130" s="98"/>
      <c r="KRK130" s="98"/>
      <c r="KRL130" s="98"/>
      <c r="KRM130" s="98"/>
      <c r="KRN130" s="98"/>
      <c r="KRO130" s="98"/>
      <c r="KRP130" s="98"/>
      <c r="KRQ130" s="98"/>
      <c r="KRR130" s="98"/>
      <c r="KRS130" s="98"/>
      <c r="KRT130" s="98"/>
      <c r="KRU130" s="98"/>
      <c r="KRV130" s="98"/>
      <c r="KRW130" s="98"/>
      <c r="KRX130" s="98"/>
      <c r="KRY130" s="98"/>
      <c r="KRZ130" s="98"/>
      <c r="KSA130" s="98"/>
      <c r="KSB130" s="98"/>
      <c r="KSC130" s="98"/>
      <c r="KSD130" s="98"/>
      <c r="KSE130" s="98"/>
      <c r="KSF130" s="98"/>
      <c r="KSG130" s="98"/>
      <c r="KSH130" s="98"/>
      <c r="KSI130" s="98"/>
      <c r="KSJ130" s="98"/>
      <c r="KSK130" s="98"/>
      <c r="KSL130" s="98"/>
      <c r="KSM130" s="98"/>
      <c r="KSN130" s="98"/>
      <c r="KSO130" s="98"/>
      <c r="KSP130" s="98"/>
      <c r="KSQ130" s="98"/>
      <c r="KSR130" s="98"/>
      <c r="KSS130" s="98"/>
      <c r="KST130" s="98"/>
      <c r="KSU130" s="98"/>
      <c r="KSV130" s="98"/>
      <c r="KSW130" s="98"/>
      <c r="KSX130" s="98"/>
      <c r="KSY130" s="98"/>
      <c r="KSZ130" s="98"/>
      <c r="KTA130" s="98"/>
      <c r="KTB130" s="98"/>
      <c r="KTC130" s="98"/>
      <c r="KTD130" s="98"/>
      <c r="KTE130" s="98"/>
      <c r="KTF130" s="98"/>
      <c r="KTG130" s="98"/>
      <c r="KTH130" s="98"/>
      <c r="KTI130" s="98"/>
      <c r="KTJ130" s="98"/>
      <c r="KTK130" s="98"/>
      <c r="KTL130" s="98"/>
      <c r="KTM130" s="98"/>
      <c r="KTN130" s="98"/>
      <c r="KTO130" s="98"/>
      <c r="KTP130" s="98"/>
      <c r="KTQ130" s="98"/>
      <c r="KTR130" s="98"/>
      <c r="KTS130" s="98"/>
      <c r="KTT130" s="98"/>
      <c r="KTU130" s="98"/>
      <c r="KTV130" s="98"/>
      <c r="KTW130" s="98"/>
      <c r="KTX130" s="98"/>
      <c r="KTY130" s="98"/>
      <c r="KTZ130" s="98"/>
      <c r="KUA130" s="98"/>
      <c r="KUB130" s="98"/>
      <c r="KUC130" s="98"/>
      <c r="KUD130" s="98"/>
      <c r="KUE130" s="98"/>
      <c r="KUF130" s="98"/>
      <c r="KUG130" s="98"/>
      <c r="KUH130" s="98"/>
      <c r="KUI130" s="98"/>
      <c r="KUJ130" s="98"/>
      <c r="KUK130" s="98"/>
      <c r="KUL130" s="98"/>
      <c r="KUM130" s="98"/>
      <c r="KUN130" s="98"/>
      <c r="KUO130" s="98"/>
      <c r="KUP130" s="98"/>
      <c r="KUQ130" s="98"/>
      <c r="KUR130" s="98"/>
      <c r="KUS130" s="98"/>
      <c r="KUT130" s="98"/>
      <c r="KUU130" s="98"/>
      <c r="KUV130" s="98"/>
      <c r="KUW130" s="98"/>
      <c r="KUX130" s="98"/>
      <c r="KUY130" s="98"/>
      <c r="KUZ130" s="98"/>
      <c r="KVA130" s="98"/>
      <c r="KVB130" s="98"/>
      <c r="KVC130" s="98"/>
      <c r="KVD130" s="98"/>
      <c r="KVE130" s="98"/>
      <c r="KVF130" s="98"/>
      <c r="KVG130" s="98"/>
      <c r="KVH130" s="98"/>
      <c r="KVI130" s="98"/>
      <c r="KVJ130" s="98"/>
      <c r="KVK130" s="98"/>
      <c r="KVL130" s="98"/>
      <c r="KVM130" s="98"/>
      <c r="KVN130" s="98"/>
      <c r="KVO130" s="98"/>
      <c r="KVP130" s="98"/>
      <c r="KVQ130" s="98"/>
      <c r="KVR130" s="98"/>
      <c r="KVS130" s="98"/>
      <c r="KVT130" s="98"/>
      <c r="KVU130" s="98"/>
      <c r="KVV130" s="98"/>
      <c r="KVW130" s="98"/>
      <c r="KVX130" s="98"/>
      <c r="KVY130" s="98"/>
      <c r="KVZ130" s="98"/>
      <c r="KWA130" s="98"/>
      <c r="KWB130" s="98"/>
      <c r="KWC130" s="98"/>
      <c r="KWD130" s="98"/>
      <c r="KWE130" s="98"/>
      <c r="KWF130" s="98"/>
      <c r="KWG130" s="98"/>
      <c r="KWH130" s="98"/>
      <c r="KWI130" s="98"/>
      <c r="KWJ130" s="98"/>
      <c r="KWK130" s="98"/>
      <c r="KWL130" s="98"/>
      <c r="KWM130" s="98"/>
      <c r="KWN130" s="98"/>
      <c r="KWO130" s="98"/>
      <c r="KWP130" s="98"/>
      <c r="KWQ130" s="98"/>
      <c r="KWR130" s="98"/>
      <c r="KWS130" s="98"/>
      <c r="KWT130" s="98"/>
      <c r="KWU130" s="98"/>
      <c r="KWV130" s="98"/>
      <c r="KWW130" s="98"/>
      <c r="KWX130" s="98"/>
      <c r="KWY130" s="98"/>
      <c r="KWZ130" s="98"/>
      <c r="KXA130" s="98"/>
      <c r="KXB130" s="98"/>
      <c r="KXC130" s="98"/>
      <c r="KXD130" s="98"/>
      <c r="KXE130" s="98"/>
      <c r="KXF130" s="98"/>
      <c r="KXG130" s="98"/>
      <c r="KXH130" s="98"/>
      <c r="KXI130" s="98"/>
      <c r="KXJ130" s="98"/>
      <c r="KXK130" s="98"/>
      <c r="KXL130" s="98"/>
      <c r="KXM130" s="98"/>
      <c r="KXN130" s="98"/>
      <c r="KXO130" s="98"/>
      <c r="KXP130" s="98"/>
      <c r="KXQ130" s="98"/>
      <c r="KXR130" s="98"/>
      <c r="KXS130" s="98"/>
      <c r="KXT130" s="98"/>
      <c r="KXU130" s="98"/>
      <c r="KXV130" s="98"/>
      <c r="KXW130" s="98"/>
      <c r="KXX130" s="98"/>
      <c r="KXY130" s="98"/>
      <c r="KXZ130" s="98"/>
      <c r="KYA130" s="98"/>
      <c r="KYB130" s="98"/>
      <c r="KYC130" s="98"/>
      <c r="KYD130" s="98"/>
      <c r="KYE130" s="98"/>
      <c r="KYF130" s="98"/>
      <c r="KYG130" s="98"/>
      <c r="KYH130" s="98"/>
      <c r="KYI130" s="98"/>
      <c r="KYJ130" s="98"/>
      <c r="KYK130" s="98"/>
      <c r="KYL130" s="98"/>
      <c r="KYM130" s="98"/>
      <c r="KYN130" s="98"/>
      <c r="KYO130" s="98"/>
      <c r="KYP130" s="98"/>
      <c r="KYQ130" s="98"/>
      <c r="KYR130" s="98"/>
      <c r="KYS130" s="98"/>
      <c r="KYT130" s="98"/>
      <c r="KYU130" s="98"/>
      <c r="KYV130" s="98"/>
      <c r="KYW130" s="98"/>
      <c r="KYX130" s="98"/>
      <c r="KYY130" s="98"/>
      <c r="KYZ130" s="98"/>
      <c r="KZA130" s="98"/>
      <c r="KZB130" s="98"/>
      <c r="KZC130" s="98"/>
      <c r="KZD130" s="98"/>
      <c r="KZE130" s="98"/>
      <c r="KZF130" s="98"/>
      <c r="KZG130" s="98"/>
      <c r="KZH130" s="98"/>
      <c r="KZI130" s="98"/>
      <c r="KZJ130" s="98"/>
      <c r="KZK130" s="98"/>
      <c r="KZL130" s="98"/>
      <c r="KZM130" s="98"/>
      <c r="KZN130" s="98"/>
      <c r="KZO130" s="98"/>
      <c r="KZP130" s="98"/>
      <c r="KZQ130" s="98"/>
      <c r="KZR130" s="98"/>
      <c r="KZS130" s="98"/>
      <c r="KZT130" s="98"/>
      <c r="KZU130" s="98"/>
      <c r="KZV130" s="98"/>
      <c r="KZW130" s="98"/>
      <c r="KZX130" s="98"/>
      <c r="KZY130" s="98"/>
      <c r="KZZ130" s="98"/>
      <c r="LAA130" s="98"/>
      <c r="LAB130" s="98"/>
      <c r="LAC130" s="98"/>
      <c r="LAD130" s="98"/>
      <c r="LAE130" s="98"/>
      <c r="LAF130" s="98"/>
      <c r="LAG130" s="98"/>
      <c r="LAH130" s="98"/>
      <c r="LAI130" s="98"/>
      <c r="LAJ130" s="98"/>
      <c r="LAK130" s="98"/>
      <c r="LAL130" s="98"/>
      <c r="LAM130" s="98"/>
      <c r="LAN130" s="98"/>
      <c r="LAO130" s="98"/>
      <c r="LAP130" s="98"/>
      <c r="LAQ130" s="98"/>
      <c r="LAR130" s="98"/>
      <c r="LAS130" s="98"/>
      <c r="LAT130" s="98"/>
      <c r="LAU130" s="98"/>
      <c r="LAV130" s="98"/>
      <c r="LAW130" s="98"/>
      <c r="LAX130" s="98"/>
      <c r="LAY130" s="98"/>
      <c r="LAZ130" s="98"/>
      <c r="LBA130" s="98"/>
      <c r="LBB130" s="98"/>
      <c r="LBC130" s="98"/>
      <c r="LBD130" s="98"/>
      <c r="LBE130" s="98"/>
      <c r="LBF130" s="98"/>
      <c r="LBG130" s="98"/>
      <c r="LBH130" s="98"/>
      <c r="LBI130" s="98"/>
      <c r="LBJ130" s="98"/>
      <c r="LBK130" s="98"/>
      <c r="LBL130" s="98"/>
      <c r="LBM130" s="98"/>
      <c r="LBN130" s="98"/>
      <c r="LBO130" s="98"/>
      <c r="LBP130" s="98"/>
      <c r="LBQ130" s="98"/>
      <c r="LBR130" s="98"/>
      <c r="LBS130" s="98"/>
      <c r="LBT130" s="98"/>
      <c r="LBU130" s="98"/>
      <c r="LBV130" s="98"/>
      <c r="LBW130" s="98"/>
      <c r="LBX130" s="98"/>
      <c r="LBY130" s="98"/>
      <c r="LBZ130" s="98"/>
      <c r="LCA130" s="98"/>
      <c r="LCB130" s="98"/>
      <c r="LCC130" s="98"/>
      <c r="LCD130" s="98"/>
      <c r="LCE130" s="98"/>
      <c r="LCF130" s="98"/>
      <c r="LCG130" s="98"/>
      <c r="LCH130" s="98"/>
      <c r="LCI130" s="98"/>
      <c r="LCJ130" s="98"/>
      <c r="LCK130" s="98"/>
      <c r="LCL130" s="98"/>
      <c r="LCM130" s="98"/>
      <c r="LCN130" s="98"/>
      <c r="LCO130" s="98"/>
      <c r="LCP130" s="98"/>
      <c r="LCQ130" s="98"/>
      <c r="LCR130" s="98"/>
      <c r="LCS130" s="98"/>
      <c r="LCT130" s="98"/>
      <c r="LCU130" s="98"/>
      <c r="LCV130" s="98"/>
      <c r="LCW130" s="98"/>
      <c r="LCX130" s="98"/>
      <c r="LCY130" s="98"/>
      <c r="LCZ130" s="98"/>
      <c r="LDA130" s="98"/>
      <c r="LDB130" s="98"/>
      <c r="LDC130" s="98"/>
      <c r="LDD130" s="98"/>
      <c r="LDE130" s="98"/>
      <c r="LDF130" s="98"/>
      <c r="LDG130" s="98"/>
      <c r="LDH130" s="98"/>
      <c r="LDI130" s="98"/>
      <c r="LDJ130" s="98"/>
      <c r="LDK130" s="98"/>
      <c r="LDL130" s="98"/>
      <c r="LDM130" s="98"/>
      <c r="LDN130" s="98"/>
      <c r="LDO130" s="98"/>
      <c r="LDP130" s="98"/>
      <c r="LDQ130" s="98"/>
      <c r="LDR130" s="98"/>
      <c r="LDS130" s="98"/>
      <c r="LDT130" s="98"/>
      <c r="LDU130" s="98"/>
      <c r="LDV130" s="98"/>
      <c r="LDW130" s="98"/>
      <c r="LDX130" s="98"/>
      <c r="LDY130" s="98"/>
      <c r="LDZ130" s="98"/>
      <c r="LEA130" s="98"/>
      <c r="LEB130" s="98"/>
      <c r="LEC130" s="98"/>
      <c r="LED130" s="98"/>
      <c r="LEE130" s="98"/>
      <c r="LEF130" s="98"/>
      <c r="LEG130" s="98"/>
      <c r="LEH130" s="98"/>
      <c r="LEI130" s="98"/>
      <c r="LEJ130" s="98"/>
      <c r="LEK130" s="98"/>
      <c r="LEL130" s="98"/>
      <c r="LEM130" s="98"/>
      <c r="LEN130" s="98"/>
      <c r="LEO130" s="98"/>
      <c r="LEP130" s="98"/>
      <c r="LEQ130" s="98"/>
      <c r="LER130" s="98"/>
      <c r="LES130" s="98"/>
      <c r="LET130" s="98"/>
      <c r="LEU130" s="98"/>
      <c r="LEV130" s="98"/>
      <c r="LEW130" s="98"/>
      <c r="LEX130" s="98"/>
      <c r="LEY130" s="98"/>
      <c r="LEZ130" s="98"/>
      <c r="LFA130" s="98"/>
      <c r="LFB130" s="98"/>
      <c r="LFC130" s="98"/>
      <c r="LFD130" s="98"/>
      <c r="LFE130" s="98"/>
      <c r="LFF130" s="98"/>
      <c r="LFG130" s="98"/>
      <c r="LFH130" s="98"/>
      <c r="LFI130" s="98"/>
      <c r="LFJ130" s="98"/>
      <c r="LFK130" s="98"/>
      <c r="LFL130" s="98"/>
      <c r="LFM130" s="98"/>
      <c r="LFN130" s="98"/>
      <c r="LFO130" s="98"/>
      <c r="LFP130" s="98"/>
      <c r="LFQ130" s="98"/>
      <c r="LFR130" s="98"/>
      <c r="LFS130" s="98"/>
      <c r="LFT130" s="98"/>
      <c r="LFU130" s="98"/>
      <c r="LFV130" s="98"/>
      <c r="LFW130" s="98"/>
      <c r="LFX130" s="98"/>
      <c r="LFY130" s="98"/>
      <c r="LFZ130" s="98"/>
      <c r="LGA130" s="98"/>
      <c r="LGB130" s="98"/>
      <c r="LGC130" s="98"/>
      <c r="LGD130" s="98"/>
      <c r="LGE130" s="98"/>
      <c r="LGF130" s="98"/>
      <c r="LGG130" s="98"/>
      <c r="LGH130" s="98"/>
      <c r="LGI130" s="98"/>
      <c r="LGJ130" s="98"/>
      <c r="LGK130" s="98"/>
      <c r="LGL130" s="98"/>
      <c r="LGM130" s="98"/>
      <c r="LGN130" s="98"/>
      <c r="LGO130" s="98"/>
      <c r="LGP130" s="98"/>
      <c r="LGQ130" s="98"/>
      <c r="LGR130" s="98"/>
      <c r="LGS130" s="98"/>
      <c r="LGT130" s="98"/>
      <c r="LGU130" s="98"/>
      <c r="LGV130" s="98"/>
      <c r="LGW130" s="98"/>
      <c r="LGX130" s="98"/>
      <c r="LGY130" s="98"/>
      <c r="LGZ130" s="98"/>
      <c r="LHA130" s="98"/>
      <c r="LHB130" s="98"/>
      <c r="LHC130" s="98"/>
      <c r="LHD130" s="98"/>
      <c r="LHE130" s="98"/>
      <c r="LHF130" s="98"/>
      <c r="LHG130" s="98"/>
      <c r="LHH130" s="98"/>
      <c r="LHI130" s="98"/>
      <c r="LHJ130" s="98"/>
      <c r="LHK130" s="98"/>
      <c r="LHL130" s="98"/>
      <c r="LHM130" s="98"/>
      <c r="LHN130" s="98"/>
      <c r="LHO130" s="98"/>
      <c r="LHP130" s="98"/>
      <c r="LHQ130" s="98"/>
      <c r="LHR130" s="98"/>
      <c r="LHS130" s="98"/>
      <c r="LHT130" s="98"/>
      <c r="LHU130" s="98"/>
      <c r="LHV130" s="98"/>
      <c r="LHW130" s="98"/>
      <c r="LHX130" s="98"/>
      <c r="LHY130" s="98"/>
      <c r="LHZ130" s="98"/>
      <c r="LIA130" s="98"/>
      <c r="LIB130" s="98"/>
      <c r="LIC130" s="98"/>
      <c r="LID130" s="98"/>
      <c r="LIE130" s="98"/>
      <c r="LIF130" s="98"/>
      <c r="LIG130" s="98"/>
      <c r="LIH130" s="98"/>
      <c r="LII130" s="98"/>
      <c r="LIJ130" s="98"/>
      <c r="LIK130" s="98"/>
      <c r="LIL130" s="98"/>
      <c r="LIM130" s="98"/>
      <c r="LIN130" s="98"/>
      <c r="LIO130" s="98"/>
      <c r="LIP130" s="98"/>
      <c r="LIQ130" s="98"/>
      <c r="LIR130" s="98"/>
      <c r="LIS130" s="98"/>
      <c r="LIT130" s="98"/>
      <c r="LIU130" s="98"/>
      <c r="LIV130" s="98"/>
      <c r="LIW130" s="98"/>
      <c r="LIX130" s="98"/>
      <c r="LIY130" s="98"/>
      <c r="LIZ130" s="98"/>
      <c r="LJA130" s="98"/>
      <c r="LJB130" s="98"/>
      <c r="LJC130" s="98"/>
      <c r="LJD130" s="98"/>
      <c r="LJE130" s="98"/>
      <c r="LJF130" s="98"/>
      <c r="LJG130" s="98"/>
      <c r="LJH130" s="98"/>
      <c r="LJI130" s="98"/>
      <c r="LJJ130" s="98"/>
      <c r="LJK130" s="98"/>
      <c r="LJL130" s="98"/>
      <c r="LJM130" s="98"/>
      <c r="LJN130" s="98"/>
      <c r="LJO130" s="98"/>
      <c r="LJP130" s="98"/>
      <c r="LJQ130" s="98"/>
      <c r="LJR130" s="98"/>
      <c r="LJS130" s="98"/>
      <c r="LJT130" s="98"/>
      <c r="LJU130" s="98"/>
      <c r="LJV130" s="98"/>
      <c r="LJW130" s="98"/>
      <c r="LJX130" s="98"/>
      <c r="LJY130" s="98"/>
      <c r="LJZ130" s="98"/>
      <c r="LKA130" s="98"/>
      <c r="LKB130" s="98"/>
      <c r="LKC130" s="98"/>
      <c r="LKD130" s="98"/>
      <c r="LKE130" s="98"/>
      <c r="LKF130" s="98"/>
      <c r="LKG130" s="98"/>
      <c r="LKH130" s="98"/>
      <c r="LKI130" s="98"/>
      <c r="LKJ130" s="98"/>
      <c r="LKK130" s="98"/>
      <c r="LKL130" s="98"/>
      <c r="LKM130" s="98"/>
      <c r="LKN130" s="98"/>
      <c r="LKO130" s="98"/>
      <c r="LKP130" s="98"/>
      <c r="LKQ130" s="98"/>
      <c r="LKR130" s="98"/>
      <c r="LKS130" s="98"/>
      <c r="LKT130" s="98"/>
      <c r="LKU130" s="98"/>
      <c r="LKV130" s="98"/>
      <c r="LKW130" s="98"/>
      <c r="LKX130" s="98"/>
      <c r="LKY130" s="98"/>
      <c r="LKZ130" s="98"/>
      <c r="LLA130" s="98"/>
      <c r="LLB130" s="98"/>
      <c r="LLC130" s="98"/>
      <c r="LLD130" s="98"/>
      <c r="LLE130" s="98"/>
      <c r="LLF130" s="98"/>
      <c r="LLG130" s="98"/>
      <c r="LLH130" s="98"/>
      <c r="LLI130" s="98"/>
      <c r="LLJ130" s="98"/>
      <c r="LLK130" s="98"/>
      <c r="LLL130" s="98"/>
      <c r="LLM130" s="98"/>
      <c r="LLN130" s="98"/>
      <c r="LLO130" s="98"/>
      <c r="LLP130" s="98"/>
      <c r="LLQ130" s="98"/>
      <c r="LLR130" s="98"/>
      <c r="LLS130" s="98"/>
      <c r="LLT130" s="98"/>
      <c r="LLU130" s="98"/>
      <c r="LLV130" s="98"/>
      <c r="LLW130" s="98"/>
      <c r="LLX130" s="98"/>
      <c r="LLY130" s="98"/>
      <c r="LLZ130" s="98"/>
      <c r="LMA130" s="98"/>
      <c r="LMB130" s="98"/>
      <c r="LMC130" s="98"/>
      <c r="LMD130" s="98"/>
      <c r="LME130" s="98"/>
      <c r="LMF130" s="98"/>
      <c r="LMG130" s="98"/>
      <c r="LMH130" s="98"/>
      <c r="LMI130" s="98"/>
      <c r="LMJ130" s="98"/>
      <c r="LMK130" s="98"/>
      <c r="LML130" s="98"/>
      <c r="LMM130" s="98"/>
      <c r="LMN130" s="98"/>
      <c r="LMO130" s="98"/>
      <c r="LMP130" s="98"/>
      <c r="LMQ130" s="98"/>
      <c r="LMR130" s="98"/>
      <c r="LMS130" s="98"/>
      <c r="LMT130" s="98"/>
      <c r="LMU130" s="98"/>
      <c r="LMV130" s="98"/>
      <c r="LMW130" s="98"/>
      <c r="LMX130" s="98"/>
      <c r="LMY130" s="98"/>
      <c r="LMZ130" s="98"/>
      <c r="LNA130" s="98"/>
      <c r="LNB130" s="98"/>
      <c r="LNC130" s="98"/>
      <c r="LND130" s="98"/>
      <c r="LNE130" s="98"/>
      <c r="LNF130" s="98"/>
      <c r="LNG130" s="98"/>
      <c r="LNH130" s="98"/>
      <c r="LNI130" s="98"/>
      <c r="LNJ130" s="98"/>
      <c r="LNK130" s="98"/>
      <c r="LNL130" s="98"/>
      <c r="LNM130" s="98"/>
      <c r="LNN130" s="98"/>
      <c r="LNO130" s="98"/>
      <c r="LNP130" s="98"/>
      <c r="LNQ130" s="98"/>
      <c r="LNR130" s="98"/>
      <c r="LNS130" s="98"/>
      <c r="LNT130" s="98"/>
      <c r="LNU130" s="98"/>
      <c r="LNV130" s="98"/>
      <c r="LNW130" s="98"/>
      <c r="LNX130" s="98"/>
      <c r="LNY130" s="98"/>
      <c r="LNZ130" s="98"/>
      <c r="LOA130" s="98"/>
      <c r="LOB130" s="98"/>
      <c r="LOC130" s="98"/>
      <c r="LOD130" s="98"/>
      <c r="LOE130" s="98"/>
      <c r="LOF130" s="98"/>
      <c r="LOG130" s="98"/>
      <c r="LOH130" s="98"/>
      <c r="LOI130" s="98"/>
      <c r="LOJ130" s="98"/>
      <c r="LOK130" s="98"/>
      <c r="LOL130" s="98"/>
      <c r="LOM130" s="98"/>
      <c r="LON130" s="98"/>
      <c r="LOO130" s="98"/>
      <c r="LOP130" s="98"/>
      <c r="LOQ130" s="98"/>
      <c r="LOR130" s="98"/>
      <c r="LOS130" s="98"/>
      <c r="LOT130" s="98"/>
      <c r="LOU130" s="98"/>
      <c r="LOV130" s="98"/>
      <c r="LOW130" s="98"/>
      <c r="LOX130" s="98"/>
      <c r="LOY130" s="98"/>
      <c r="LOZ130" s="98"/>
      <c r="LPA130" s="98"/>
      <c r="LPB130" s="98"/>
      <c r="LPC130" s="98"/>
      <c r="LPD130" s="98"/>
      <c r="LPE130" s="98"/>
      <c r="LPF130" s="98"/>
      <c r="LPG130" s="98"/>
      <c r="LPH130" s="98"/>
      <c r="LPI130" s="98"/>
      <c r="LPJ130" s="98"/>
      <c r="LPK130" s="98"/>
      <c r="LPL130" s="98"/>
      <c r="LPM130" s="98"/>
      <c r="LPN130" s="98"/>
      <c r="LPO130" s="98"/>
      <c r="LPP130" s="98"/>
      <c r="LPQ130" s="98"/>
      <c r="LPR130" s="98"/>
      <c r="LPS130" s="98"/>
      <c r="LPT130" s="98"/>
      <c r="LPU130" s="98"/>
      <c r="LPV130" s="98"/>
      <c r="LPW130" s="98"/>
      <c r="LPX130" s="98"/>
      <c r="LPY130" s="98"/>
      <c r="LPZ130" s="98"/>
      <c r="LQA130" s="98"/>
      <c r="LQB130" s="98"/>
      <c r="LQC130" s="98"/>
      <c r="LQD130" s="98"/>
      <c r="LQE130" s="98"/>
      <c r="LQF130" s="98"/>
      <c r="LQG130" s="98"/>
      <c r="LQH130" s="98"/>
      <c r="LQI130" s="98"/>
      <c r="LQJ130" s="98"/>
      <c r="LQK130" s="98"/>
      <c r="LQL130" s="98"/>
      <c r="LQM130" s="98"/>
      <c r="LQN130" s="98"/>
      <c r="LQO130" s="98"/>
      <c r="LQP130" s="98"/>
      <c r="LQQ130" s="98"/>
      <c r="LQR130" s="98"/>
      <c r="LQS130" s="98"/>
      <c r="LQT130" s="98"/>
      <c r="LQU130" s="98"/>
      <c r="LQV130" s="98"/>
      <c r="LQW130" s="98"/>
      <c r="LQX130" s="98"/>
      <c r="LQY130" s="98"/>
      <c r="LQZ130" s="98"/>
      <c r="LRA130" s="98"/>
      <c r="LRB130" s="98"/>
      <c r="LRC130" s="98"/>
      <c r="LRD130" s="98"/>
      <c r="LRE130" s="98"/>
      <c r="LRF130" s="98"/>
      <c r="LRG130" s="98"/>
      <c r="LRH130" s="98"/>
      <c r="LRI130" s="98"/>
      <c r="LRJ130" s="98"/>
      <c r="LRK130" s="98"/>
      <c r="LRL130" s="98"/>
      <c r="LRM130" s="98"/>
      <c r="LRN130" s="98"/>
      <c r="LRO130" s="98"/>
      <c r="LRP130" s="98"/>
      <c r="LRQ130" s="98"/>
      <c r="LRR130" s="98"/>
      <c r="LRS130" s="98"/>
      <c r="LRT130" s="98"/>
      <c r="LRU130" s="98"/>
      <c r="LRV130" s="98"/>
      <c r="LRW130" s="98"/>
      <c r="LRX130" s="98"/>
      <c r="LRY130" s="98"/>
      <c r="LRZ130" s="98"/>
      <c r="LSA130" s="98"/>
      <c r="LSB130" s="98"/>
      <c r="LSC130" s="98"/>
      <c r="LSD130" s="98"/>
      <c r="LSE130" s="98"/>
      <c r="LSF130" s="98"/>
      <c r="LSG130" s="98"/>
      <c r="LSH130" s="98"/>
      <c r="LSI130" s="98"/>
      <c r="LSJ130" s="98"/>
      <c r="LSK130" s="98"/>
      <c r="LSL130" s="98"/>
      <c r="LSM130" s="98"/>
      <c r="LSN130" s="98"/>
      <c r="LSO130" s="98"/>
      <c r="LSP130" s="98"/>
      <c r="LSQ130" s="98"/>
      <c r="LSR130" s="98"/>
      <c r="LSS130" s="98"/>
      <c r="LST130" s="98"/>
      <c r="LSU130" s="98"/>
      <c r="LSV130" s="98"/>
      <c r="LSW130" s="98"/>
      <c r="LSX130" s="98"/>
      <c r="LSY130" s="98"/>
      <c r="LSZ130" s="98"/>
      <c r="LTA130" s="98"/>
      <c r="LTB130" s="98"/>
      <c r="LTC130" s="98"/>
      <c r="LTD130" s="98"/>
      <c r="LTE130" s="98"/>
      <c r="LTF130" s="98"/>
      <c r="LTG130" s="98"/>
      <c r="LTH130" s="98"/>
      <c r="LTI130" s="98"/>
      <c r="LTJ130" s="98"/>
      <c r="LTK130" s="98"/>
      <c r="LTL130" s="98"/>
      <c r="LTM130" s="98"/>
      <c r="LTN130" s="98"/>
      <c r="LTO130" s="98"/>
      <c r="LTP130" s="98"/>
      <c r="LTQ130" s="98"/>
      <c r="LTR130" s="98"/>
      <c r="LTS130" s="98"/>
      <c r="LTT130" s="98"/>
      <c r="LTU130" s="98"/>
      <c r="LTV130" s="98"/>
      <c r="LTW130" s="98"/>
      <c r="LTX130" s="98"/>
      <c r="LTY130" s="98"/>
      <c r="LTZ130" s="98"/>
      <c r="LUA130" s="98"/>
      <c r="LUB130" s="98"/>
      <c r="LUC130" s="98"/>
      <c r="LUD130" s="98"/>
      <c r="LUE130" s="98"/>
      <c r="LUF130" s="98"/>
      <c r="LUG130" s="98"/>
      <c r="LUH130" s="98"/>
      <c r="LUI130" s="98"/>
      <c r="LUJ130" s="98"/>
      <c r="LUK130" s="98"/>
      <c r="LUL130" s="98"/>
      <c r="LUM130" s="98"/>
      <c r="LUN130" s="98"/>
      <c r="LUO130" s="98"/>
      <c r="LUP130" s="98"/>
      <c r="LUQ130" s="98"/>
      <c r="LUR130" s="98"/>
      <c r="LUS130" s="98"/>
      <c r="LUT130" s="98"/>
      <c r="LUU130" s="98"/>
      <c r="LUV130" s="98"/>
      <c r="LUW130" s="98"/>
      <c r="LUX130" s="98"/>
      <c r="LUY130" s="98"/>
      <c r="LUZ130" s="98"/>
      <c r="LVA130" s="98"/>
      <c r="LVB130" s="98"/>
      <c r="LVC130" s="98"/>
      <c r="LVD130" s="98"/>
      <c r="LVE130" s="98"/>
      <c r="LVF130" s="98"/>
      <c r="LVG130" s="98"/>
      <c r="LVH130" s="98"/>
      <c r="LVI130" s="98"/>
      <c r="LVJ130" s="98"/>
      <c r="LVK130" s="98"/>
      <c r="LVL130" s="98"/>
      <c r="LVM130" s="98"/>
      <c r="LVN130" s="98"/>
      <c r="LVO130" s="98"/>
      <c r="LVP130" s="98"/>
      <c r="LVQ130" s="98"/>
      <c r="LVR130" s="98"/>
      <c r="LVS130" s="98"/>
      <c r="LVT130" s="98"/>
      <c r="LVU130" s="98"/>
      <c r="LVV130" s="98"/>
      <c r="LVW130" s="98"/>
      <c r="LVX130" s="98"/>
      <c r="LVY130" s="98"/>
      <c r="LVZ130" s="98"/>
      <c r="LWA130" s="98"/>
      <c r="LWB130" s="98"/>
      <c r="LWC130" s="98"/>
      <c r="LWD130" s="98"/>
      <c r="LWE130" s="98"/>
      <c r="LWF130" s="98"/>
      <c r="LWG130" s="98"/>
      <c r="LWH130" s="98"/>
      <c r="LWI130" s="98"/>
      <c r="LWJ130" s="98"/>
      <c r="LWK130" s="98"/>
      <c r="LWL130" s="98"/>
      <c r="LWM130" s="98"/>
      <c r="LWN130" s="98"/>
      <c r="LWO130" s="98"/>
      <c r="LWP130" s="98"/>
      <c r="LWQ130" s="98"/>
      <c r="LWR130" s="98"/>
      <c r="LWS130" s="98"/>
      <c r="LWT130" s="98"/>
      <c r="LWU130" s="98"/>
      <c r="LWV130" s="98"/>
      <c r="LWW130" s="98"/>
      <c r="LWX130" s="98"/>
      <c r="LWY130" s="98"/>
      <c r="LWZ130" s="98"/>
      <c r="LXA130" s="98"/>
      <c r="LXB130" s="98"/>
      <c r="LXC130" s="98"/>
      <c r="LXD130" s="98"/>
      <c r="LXE130" s="98"/>
      <c r="LXF130" s="98"/>
      <c r="LXG130" s="98"/>
      <c r="LXH130" s="98"/>
      <c r="LXI130" s="98"/>
      <c r="LXJ130" s="98"/>
      <c r="LXK130" s="98"/>
      <c r="LXL130" s="98"/>
      <c r="LXM130" s="98"/>
      <c r="LXN130" s="98"/>
      <c r="LXO130" s="98"/>
      <c r="LXP130" s="98"/>
      <c r="LXQ130" s="98"/>
      <c r="LXR130" s="98"/>
      <c r="LXS130" s="98"/>
      <c r="LXT130" s="98"/>
      <c r="LXU130" s="98"/>
      <c r="LXV130" s="98"/>
      <c r="LXW130" s="98"/>
      <c r="LXX130" s="98"/>
      <c r="LXY130" s="98"/>
      <c r="LXZ130" s="98"/>
      <c r="LYA130" s="98"/>
      <c r="LYB130" s="98"/>
      <c r="LYC130" s="98"/>
      <c r="LYD130" s="98"/>
      <c r="LYE130" s="98"/>
      <c r="LYF130" s="98"/>
      <c r="LYG130" s="98"/>
      <c r="LYH130" s="98"/>
      <c r="LYI130" s="98"/>
      <c r="LYJ130" s="98"/>
      <c r="LYK130" s="98"/>
      <c r="LYL130" s="98"/>
      <c r="LYM130" s="98"/>
      <c r="LYN130" s="98"/>
      <c r="LYO130" s="98"/>
      <c r="LYP130" s="98"/>
      <c r="LYQ130" s="98"/>
      <c r="LYR130" s="98"/>
      <c r="LYS130" s="98"/>
      <c r="LYT130" s="98"/>
      <c r="LYU130" s="98"/>
      <c r="LYV130" s="98"/>
      <c r="LYW130" s="98"/>
      <c r="LYX130" s="98"/>
      <c r="LYY130" s="98"/>
      <c r="LYZ130" s="98"/>
      <c r="LZA130" s="98"/>
      <c r="LZB130" s="98"/>
      <c r="LZC130" s="98"/>
      <c r="LZD130" s="98"/>
      <c r="LZE130" s="98"/>
      <c r="LZF130" s="98"/>
      <c r="LZG130" s="98"/>
      <c r="LZH130" s="98"/>
      <c r="LZI130" s="98"/>
      <c r="LZJ130" s="98"/>
      <c r="LZK130" s="98"/>
      <c r="LZL130" s="98"/>
      <c r="LZM130" s="98"/>
      <c r="LZN130" s="98"/>
      <c r="LZO130" s="98"/>
      <c r="LZP130" s="98"/>
      <c r="LZQ130" s="98"/>
      <c r="LZR130" s="98"/>
      <c r="LZS130" s="98"/>
      <c r="LZT130" s="98"/>
      <c r="LZU130" s="98"/>
      <c r="LZV130" s="98"/>
      <c r="LZW130" s="98"/>
      <c r="LZX130" s="98"/>
      <c r="LZY130" s="98"/>
      <c r="LZZ130" s="98"/>
      <c r="MAA130" s="98"/>
      <c r="MAB130" s="98"/>
      <c r="MAC130" s="98"/>
      <c r="MAD130" s="98"/>
      <c r="MAE130" s="98"/>
      <c r="MAF130" s="98"/>
      <c r="MAG130" s="98"/>
      <c r="MAH130" s="98"/>
      <c r="MAI130" s="98"/>
      <c r="MAJ130" s="98"/>
      <c r="MAK130" s="98"/>
      <c r="MAL130" s="98"/>
      <c r="MAM130" s="98"/>
      <c r="MAN130" s="98"/>
      <c r="MAO130" s="98"/>
      <c r="MAP130" s="98"/>
      <c r="MAQ130" s="98"/>
      <c r="MAR130" s="98"/>
      <c r="MAS130" s="98"/>
      <c r="MAT130" s="98"/>
      <c r="MAU130" s="98"/>
      <c r="MAV130" s="98"/>
      <c r="MAW130" s="98"/>
      <c r="MAX130" s="98"/>
      <c r="MAY130" s="98"/>
      <c r="MAZ130" s="98"/>
      <c r="MBA130" s="98"/>
      <c r="MBB130" s="98"/>
      <c r="MBC130" s="98"/>
      <c r="MBD130" s="98"/>
      <c r="MBE130" s="98"/>
      <c r="MBF130" s="98"/>
      <c r="MBG130" s="98"/>
      <c r="MBH130" s="98"/>
      <c r="MBI130" s="98"/>
      <c r="MBJ130" s="98"/>
      <c r="MBK130" s="98"/>
      <c r="MBL130" s="98"/>
      <c r="MBM130" s="98"/>
      <c r="MBN130" s="98"/>
      <c r="MBO130" s="98"/>
      <c r="MBP130" s="98"/>
      <c r="MBQ130" s="98"/>
      <c r="MBR130" s="98"/>
      <c r="MBS130" s="98"/>
      <c r="MBT130" s="98"/>
      <c r="MBU130" s="98"/>
      <c r="MBV130" s="98"/>
      <c r="MBW130" s="98"/>
      <c r="MBX130" s="98"/>
      <c r="MBY130" s="98"/>
      <c r="MBZ130" s="98"/>
      <c r="MCA130" s="98"/>
      <c r="MCB130" s="98"/>
      <c r="MCC130" s="98"/>
      <c r="MCD130" s="98"/>
      <c r="MCE130" s="98"/>
      <c r="MCF130" s="98"/>
      <c r="MCG130" s="98"/>
      <c r="MCH130" s="98"/>
      <c r="MCI130" s="98"/>
      <c r="MCJ130" s="98"/>
      <c r="MCK130" s="98"/>
      <c r="MCL130" s="98"/>
      <c r="MCM130" s="98"/>
      <c r="MCN130" s="98"/>
      <c r="MCO130" s="98"/>
      <c r="MCP130" s="98"/>
      <c r="MCQ130" s="98"/>
      <c r="MCR130" s="98"/>
      <c r="MCS130" s="98"/>
      <c r="MCT130" s="98"/>
      <c r="MCU130" s="98"/>
      <c r="MCV130" s="98"/>
      <c r="MCW130" s="98"/>
      <c r="MCX130" s="98"/>
      <c r="MCY130" s="98"/>
      <c r="MCZ130" s="98"/>
      <c r="MDA130" s="98"/>
      <c r="MDB130" s="98"/>
      <c r="MDC130" s="98"/>
      <c r="MDD130" s="98"/>
      <c r="MDE130" s="98"/>
      <c r="MDF130" s="98"/>
      <c r="MDG130" s="98"/>
      <c r="MDH130" s="98"/>
      <c r="MDI130" s="98"/>
      <c r="MDJ130" s="98"/>
      <c r="MDK130" s="98"/>
      <c r="MDL130" s="98"/>
      <c r="MDM130" s="98"/>
      <c r="MDN130" s="98"/>
      <c r="MDO130" s="98"/>
      <c r="MDP130" s="98"/>
      <c r="MDQ130" s="98"/>
      <c r="MDR130" s="98"/>
      <c r="MDS130" s="98"/>
      <c r="MDT130" s="98"/>
      <c r="MDU130" s="98"/>
      <c r="MDV130" s="98"/>
      <c r="MDW130" s="98"/>
      <c r="MDX130" s="98"/>
      <c r="MDY130" s="98"/>
      <c r="MDZ130" s="98"/>
      <c r="MEA130" s="98"/>
      <c r="MEB130" s="98"/>
      <c r="MEC130" s="98"/>
      <c r="MED130" s="98"/>
      <c r="MEE130" s="98"/>
      <c r="MEF130" s="98"/>
      <c r="MEG130" s="98"/>
      <c r="MEH130" s="98"/>
      <c r="MEI130" s="98"/>
      <c r="MEJ130" s="98"/>
      <c r="MEK130" s="98"/>
      <c r="MEL130" s="98"/>
      <c r="MEM130" s="98"/>
      <c r="MEN130" s="98"/>
      <c r="MEO130" s="98"/>
      <c r="MEP130" s="98"/>
      <c r="MEQ130" s="98"/>
      <c r="MER130" s="98"/>
      <c r="MES130" s="98"/>
      <c r="MET130" s="98"/>
      <c r="MEU130" s="98"/>
      <c r="MEV130" s="98"/>
      <c r="MEW130" s="98"/>
      <c r="MEX130" s="98"/>
      <c r="MEY130" s="98"/>
      <c r="MEZ130" s="98"/>
      <c r="MFA130" s="98"/>
      <c r="MFB130" s="98"/>
      <c r="MFC130" s="98"/>
      <c r="MFD130" s="98"/>
      <c r="MFE130" s="98"/>
      <c r="MFF130" s="98"/>
      <c r="MFG130" s="98"/>
      <c r="MFH130" s="98"/>
      <c r="MFI130" s="98"/>
      <c r="MFJ130" s="98"/>
      <c r="MFK130" s="98"/>
      <c r="MFL130" s="98"/>
      <c r="MFM130" s="98"/>
      <c r="MFN130" s="98"/>
      <c r="MFO130" s="98"/>
      <c r="MFP130" s="98"/>
      <c r="MFQ130" s="98"/>
      <c r="MFR130" s="98"/>
      <c r="MFS130" s="98"/>
      <c r="MFT130" s="98"/>
      <c r="MFU130" s="98"/>
      <c r="MFV130" s="98"/>
      <c r="MFW130" s="98"/>
      <c r="MFX130" s="98"/>
      <c r="MFY130" s="98"/>
      <c r="MFZ130" s="98"/>
      <c r="MGA130" s="98"/>
      <c r="MGB130" s="98"/>
      <c r="MGC130" s="98"/>
      <c r="MGD130" s="98"/>
      <c r="MGE130" s="98"/>
      <c r="MGF130" s="98"/>
      <c r="MGG130" s="98"/>
      <c r="MGH130" s="98"/>
      <c r="MGI130" s="98"/>
      <c r="MGJ130" s="98"/>
      <c r="MGK130" s="98"/>
      <c r="MGL130" s="98"/>
      <c r="MGM130" s="98"/>
      <c r="MGN130" s="98"/>
      <c r="MGO130" s="98"/>
      <c r="MGP130" s="98"/>
      <c r="MGQ130" s="98"/>
      <c r="MGR130" s="98"/>
      <c r="MGS130" s="98"/>
      <c r="MGT130" s="98"/>
      <c r="MGU130" s="98"/>
      <c r="MGV130" s="98"/>
      <c r="MGW130" s="98"/>
      <c r="MGX130" s="98"/>
      <c r="MGY130" s="98"/>
      <c r="MGZ130" s="98"/>
      <c r="MHA130" s="98"/>
      <c r="MHB130" s="98"/>
      <c r="MHC130" s="98"/>
      <c r="MHD130" s="98"/>
      <c r="MHE130" s="98"/>
      <c r="MHF130" s="98"/>
      <c r="MHG130" s="98"/>
      <c r="MHH130" s="98"/>
      <c r="MHI130" s="98"/>
      <c r="MHJ130" s="98"/>
      <c r="MHK130" s="98"/>
      <c r="MHL130" s="98"/>
      <c r="MHM130" s="98"/>
      <c r="MHN130" s="98"/>
      <c r="MHO130" s="98"/>
      <c r="MHP130" s="98"/>
      <c r="MHQ130" s="98"/>
      <c r="MHR130" s="98"/>
      <c r="MHS130" s="98"/>
      <c r="MHT130" s="98"/>
      <c r="MHU130" s="98"/>
      <c r="MHV130" s="98"/>
      <c r="MHW130" s="98"/>
      <c r="MHX130" s="98"/>
      <c r="MHY130" s="98"/>
      <c r="MHZ130" s="98"/>
      <c r="MIA130" s="98"/>
      <c r="MIB130" s="98"/>
      <c r="MIC130" s="98"/>
      <c r="MID130" s="98"/>
      <c r="MIE130" s="98"/>
      <c r="MIF130" s="98"/>
      <c r="MIG130" s="98"/>
      <c r="MIH130" s="98"/>
      <c r="MII130" s="98"/>
      <c r="MIJ130" s="98"/>
      <c r="MIK130" s="98"/>
      <c r="MIL130" s="98"/>
      <c r="MIM130" s="98"/>
      <c r="MIN130" s="98"/>
      <c r="MIO130" s="98"/>
      <c r="MIP130" s="98"/>
      <c r="MIQ130" s="98"/>
      <c r="MIR130" s="98"/>
      <c r="MIS130" s="98"/>
      <c r="MIT130" s="98"/>
      <c r="MIU130" s="98"/>
      <c r="MIV130" s="98"/>
      <c r="MIW130" s="98"/>
      <c r="MIX130" s="98"/>
      <c r="MIY130" s="98"/>
      <c r="MIZ130" s="98"/>
      <c r="MJA130" s="98"/>
      <c r="MJB130" s="98"/>
      <c r="MJC130" s="98"/>
      <c r="MJD130" s="98"/>
      <c r="MJE130" s="98"/>
      <c r="MJF130" s="98"/>
      <c r="MJG130" s="98"/>
      <c r="MJH130" s="98"/>
      <c r="MJI130" s="98"/>
      <c r="MJJ130" s="98"/>
      <c r="MJK130" s="98"/>
      <c r="MJL130" s="98"/>
      <c r="MJM130" s="98"/>
      <c r="MJN130" s="98"/>
      <c r="MJO130" s="98"/>
      <c r="MJP130" s="98"/>
      <c r="MJQ130" s="98"/>
      <c r="MJR130" s="98"/>
      <c r="MJS130" s="98"/>
      <c r="MJT130" s="98"/>
      <c r="MJU130" s="98"/>
      <c r="MJV130" s="98"/>
      <c r="MJW130" s="98"/>
      <c r="MJX130" s="98"/>
      <c r="MJY130" s="98"/>
      <c r="MJZ130" s="98"/>
      <c r="MKA130" s="98"/>
      <c r="MKB130" s="98"/>
      <c r="MKC130" s="98"/>
      <c r="MKD130" s="98"/>
      <c r="MKE130" s="98"/>
      <c r="MKF130" s="98"/>
      <c r="MKG130" s="98"/>
      <c r="MKH130" s="98"/>
      <c r="MKI130" s="98"/>
      <c r="MKJ130" s="98"/>
      <c r="MKK130" s="98"/>
      <c r="MKL130" s="98"/>
      <c r="MKM130" s="98"/>
      <c r="MKN130" s="98"/>
      <c r="MKO130" s="98"/>
      <c r="MKP130" s="98"/>
      <c r="MKQ130" s="98"/>
      <c r="MKR130" s="98"/>
      <c r="MKS130" s="98"/>
      <c r="MKT130" s="98"/>
      <c r="MKU130" s="98"/>
      <c r="MKV130" s="98"/>
      <c r="MKW130" s="98"/>
      <c r="MKX130" s="98"/>
      <c r="MKY130" s="98"/>
      <c r="MKZ130" s="98"/>
      <c r="MLA130" s="98"/>
      <c r="MLB130" s="98"/>
      <c r="MLC130" s="98"/>
      <c r="MLD130" s="98"/>
      <c r="MLE130" s="98"/>
      <c r="MLF130" s="98"/>
      <c r="MLG130" s="98"/>
      <c r="MLH130" s="98"/>
      <c r="MLI130" s="98"/>
      <c r="MLJ130" s="98"/>
      <c r="MLK130" s="98"/>
      <c r="MLL130" s="98"/>
      <c r="MLM130" s="98"/>
      <c r="MLN130" s="98"/>
      <c r="MLO130" s="98"/>
      <c r="MLP130" s="98"/>
      <c r="MLQ130" s="98"/>
      <c r="MLR130" s="98"/>
      <c r="MLS130" s="98"/>
      <c r="MLT130" s="98"/>
      <c r="MLU130" s="98"/>
      <c r="MLV130" s="98"/>
      <c r="MLW130" s="98"/>
      <c r="MLX130" s="98"/>
      <c r="MLY130" s="98"/>
      <c r="MLZ130" s="98"/>
      <c r="MMA130" s="98"/>
      <c r="MMB130" s="98"/>
      <c r="MMC130" s="98"/>
      <c r="MMD130" s="98"/>
      <c r="MME130" s="98"/>
      <c r="MMF130" s="98"/>
      <c r="MMG130" s="98"/>
      <c r="MMH130" s="98"/>
      <c r="MMI130" s="98"/>
      <c r="MMJ130" s="98"/>
      <c r="MMK130" s="98"/>
      <c r="MML130" s="98"/>
      <c r="MMM130" s="98"/>
      <c r="MMN130" s="98"/>
      <c r="MMO130" s="98"/>
      <c r="MMP130" s="98"/>
      <c r="MMQ130" s="98"/>
      <c r="MMR130" s="98"/>
      <c r="MMS130" s="98"/>
      <c r="MMT130" s="98"/>
      <c r="MMU130" s="98"/>
      <c r="MMV130" s="98"/>
      <c r="MMW130" s="98"/>
      <c r="MMX130" s="98"/>
      <c r="MMY130" s="98"/>
      <c r="MMZ130" s="98"/>
      <c r="MNA130" s="98"/>
      <c r="MNB130" s="98"/>
      <c r="MNC130" s="98"/>
      <c r="MND130" s="98"/>
      <c r="MNE130" s="98"/>
      <c r="MNF130" s="98"/>
      <c r="MNG130" s="98"/>
      <c r="MNH130" s="98"/>
      <c r="MNI130" s="98"/>
      <c r="MNJ130" s="98"/>
      <c r="MNK130" s="98"/>
      <c r="MNL130" s="98"/>
      <c r="MNM130" s="98"/>
      <c r="MNN130" s="98"/>
      <c r="MNO130" s="98"/>
      <c r="MNP130" s="98"/>
      <c r="MNQ130" s="98"/>
      <c r="MNR130" s="98"/>
      <c r="MNS130" s="98"/>
      <c r="MNT130" s="98"/>
      <c r="MNU130" s="98"/>
      <c r="MNV130" s="98"/>
      <c r="MNW130" s="98"/>
      <c r="MNX130" s="98"/>
      <c r="MNY130" s="98"/>
      <c r="MNZ130" s="98"/>
      <c r="MOA130" s="98"/>
      <c r="MOB130" s="98"/>
      <c r="MOC130" s="98"/>
      <c r="MOD130" s="98"/>
      <c r="MOE130" s="98"/>
      <c r="MOF130" s="98"/>
      <c r="MOG130" s="98"/>
      <c r="MOH130" s="98"/>
      <c r="MOI130" s="98"/>
      <c r="MOJ130" s="98"/>
      <c r="MOK130" s="98"/>
      <c r="MOL130" s="98"/>
      <c r="MOM130" s="98"/>
      <c r="MON130" s="98"/>
      <c r="MOO130" s="98"/>
      <c r="MOP130" s="98"/>
      <c r="MOQ130" s="98"/>
      <c r="MOR130" s="98"/>
      <c r="MOS130" s="98"/>
      <c r="MOT130" s="98"/>
      <c r="MOU130" s="98"/>
      <c r="MOV130" s="98"/>
      <c r="MOW130" s="98"/>
      <c r="MOX130" s="98"/>
      <c r="MOY130" s="98"/>
      <c r="MOZ130" s="98"/>
      <c r="MPA130" s="98"/>
      <c r="MPB130" s="98"/>
      <c r="MPC130" s="98"/>
      <c r="MPD130" s="98"/>
      <c r="MPE130" s="98"/>
      <c r="MPF130" s="98"/>
      <c r="MPG130" s="98"/>
      <c r="MPH130" s="98"/>
      <c r="MPI130" s="98"/>
      <c r="MPJ130" s="98"/>
      <c r="MPK130" s="98"/>
      <c r="MPL130" s="98"/>
      <c r="MPM130" s="98"/>
      <c r="MPN130" s="98"/>
      <c r="MPO130" s="98"/>
      <c r="MPP130" s="98"/>
      <c r="MPQ130" s="98"/>
      <c r="MPR130" s="98"/>
      <c r="MPS130" s="98"/>
      <c r="MPT130" s="98"/>
      <c r="MPU130" s="98"/>
      <c r="MPV130" s="98"/>
      <c r="MPW130" s="98"/>
      <c r="MPX130" s="98"/>
      <c r="MPY130" s="98"/>
      <c r="MPZ130" s="98"/>
      <c r="MQA130" s="98"/>
      <c r="MQB130" s="98"/>
      <c r="MQC130" s="98"/>
      <c r="MQD130" s="98"/>
      <c r="MQE130" s="98"/>
      <c r="MQF130" s="98"/>
      <c r="MQG130" s="98"/>
      <c r="MQH130" s="98"/>
      <c r="MQI130" s="98"/>
      <c r="MQJ130" s="98"/>
      <c r="MQK130" s="98"/>
      <c r="MQL130" s="98"/>
      <c r="MQM130" s="98"/>
      <c r="MQN130" s="98"/>
      <c r="MQO130" s="98"/>
      <c r="MQP130" s="98"/>
      <c r="MQQ130" s="98"/>
      <c r="MQR130" s="98"/>
      <c r="MQS130" s="98"/>
      <c r="MQT130" s="98"/>
      <c r="MQU130" s="98"/>
      <c r="MQV130" s="98"/>
      <c r="MQW130" s="98"/>
      <c r="MQX130" s="98"/>
      <c r="MQY130" s="98"/>
      <c r="MQZ130" s="98"/>
      <c r="MRA130" s="98"/>
      <c r="MRB130" s="98"/>
      <c r="MRC130" s="98"/>
      <c r="MRD130" s="98"/>
      <c r="MRE130" s="98"/>
      <c r="MRF130" s="98"/>
      <c r="MRG130" s="98"/>
      <c r="MRH130" s="98"/>
      <c r="MRI130" s="98"/>
      <c r="MRJ130" s="98"/>
      <c r="MRK130" s="98"/>
      <c r="MRL130" s="98"/>
      <c r="MRM130" s="98"/>
      <c r="MRN130" s="98"/>
      <c r="MRO130" s="98"/>
      <c r="MRP130" s="98"/>
      <c r="MRQ130" s="98"/>
      <c r="MRR130" s="98"/>
      <c r="MRS130" s="98"/>
      <c r="MRT130" s="98"/>
      <c r="MRU130" s="98"/>
      <c r="MRV130" s="98"/>
      <c r="MRW130" s="98"/>
      <c r="MRX130" s="98"/>
      <c r="MRY130" s="98"/>
      <c r="MRZ130" s="98"/>
      <c r="MSA130" s="98"/>
      <c r="MSB130" s="98"/>
      <c r="MSC130" s="98"/>
      <c r="MSD130" s="98"/>
      <c r="MSE130" s="98"/>
      <c r="MSF130" s="98"/>
      <c r="MSG130" s="98"/>
      <c r="MSH130" s="98"/>
      <c r="MSI130" s="98"/>
      <c r="MSJ130" s="98"/>
      <c r="MSK130" s="98"/>
      <c r="MSL130" s="98"/>
      <c r="MSM130" s="98"/>
      <c r="MSN130" s="98"/>
      <c r="MSO130" s="98"/>
      <c r="MSP130" s="98"/>
      <c r="MSQ130" s="98"/>
      <c r="MSR130" s="98"/>
      <c r="MSS130" s="98"/>
      <c r="MST130" s="98"/>
      <c r="MSU130" s="98"/>
      <c r="MSV130" s="98"/>
      <c r="MSW130" s="98"/>
      <c r="MSX130" s="98"/>
      <c r="MSY130" s="98"/>
      <c r="MSZ130" s="98"/>
      <c r="MTA130" s="98"/>
      <c r="MTB130" s="98"/>
      <c r="MTC130" s="98"/>
      <c r="MTD130" s="98"/>
      <c r="MTE130" s="98"/>
      <c r="MTF130" s="98"/>
      <c r="MTG130" s="98"/>
      <c r="MTH130" s="98"/>
      <c r="MTI130" s="98"/>
      <c r="MTJ130" s="98"/>
      <c r="MTK130" s="98"/>
      <c r="MTL130" s="98"/>
      <c r="MTM130" s="98"/>
      <c r="MTN130" s="98"/>
      <c r="MTO130" s="98"/>
      <c r="MTP130" s="98"/>
      <c r="MTQ130" s="98"/>
      <c r="MTR130" s="98"/>
      <c r="MTS130" s="98"/>
      <c r="MTT130" s="98"/>
      <c r="MTU130" s="98"/>
      <c r="MTV130" s="98"/>
      <c r="MTW130" s="98"/>
      <c r="MTX130" s="98"/>
      <c r="MTY130" s="98"/>
      <c r="MTZ130" s="98"/>
      <c r="MUA130" s="98"/>
      <c r="MUB130" s="98"/>
      <c r="MUC130" s="98"/>
      <c r="MUD130" s="98"/>
      <c r="MUE130" s="98"/>
      <c r="MUF130" s="98"/>
      <c r="MUG130" s="98"/>
      <c r="MUH130" s="98"/>
      <c r="MUI130" s="98"/>
      <c r="MUJ130" s="98"/>
      <c r="MUK130" s="98"/>
      <c r="MUL130" s="98"/>
      <c r="MUM130" s="98"/>
      <c r="MUN130" s="98"/>
      <c r="MUO130" s="98"/>
      <c r="MUP130" s="98"/>
      <c r="MUQ130" s="98"/>
      <c r="MUR130" s="98"/>
      <c r="MUS130" s="98"/>
      <c r="MUT130" s="98"/>
      <c r="MUU130" s="98"/>
      <c r="MUV130" s="98"/>
      <c r="MUW130" s="98"/>
      <c r="MUX130" s="98"/>
      <c r="MUY130" s="98"/>
      <c r="MUZ130" s="98"/>
      <c r="MVA130" s="98"/>
      <c r="MVB130" s="98"/>
      <c r="MVC130" s="98"/>
      <c r="MVD130" s="98"/>
      <c r="MVE130" s="98"/>
      <c r="MVF130" s="98"/>
      <c r="MVG130" s="98"/>
      <c r="MVH130" s="98"/>
      <c r="MVI130" s="98"/>
      <c r="MVJ130" s="98"/>
      <c r="MVK130" s="98"/>
      <c r="MVL130" s="98"/>
      <c r="MVM130" s="98"/>
      <c r="MVN130" s="98"/>
      <c r="MVO130" s="98"/>
      <c r="MVP130" s="98"/>
      <c r="MVQ130" s="98"/>
      <c r="MVR130" s="98"/>
      <c r="MVS130" s="98"/>
      <c r="MVT130" s="98"/>
      <c r="MVU130" s="98"/>
      <c r="MVV130" s="98"/>
      <c r="MVW130" s="98"/>
      <c r="MVX130" s="98"/>
      <c r="MVY130" s="98"/>
      <c r="MVZ130" s="98"/>
      <c r="MWA130" s="98"/>
      <c r="MWB130" s="98"/>
      <c r="MWC130" s="98"/>
      <c r="MWD130" s="98"/>
      <c r="MWE130" s="98"/>
      <c r="MWF130" s="98"/>
      <c r="MWG130" s="98"/>
      <c r="MWH130" s="98"/>
      <c r="MWI130" s="98"/>
      <c r="MWJ130" s="98"/>
      <c r="MWK130" s="98"/>
      <c r="MWL130" s="98"/>
      <c r="MWM130" s="98"/>
      <c r="MWN130" s="98"/>
      <c r="MWO130" s="98"/>
      <c r="MWP130" s="98"/>
      <c r="MWQ130" s="98"/>
      <c r="MWR130" s="98"/>
      <c r="MWS130" s="98"/>
      <c r="MWT130" s="98"/>
      <c r="MWU130" s="98"/>
      <c r="MWV130" s="98"/>
      <c r="MWW130" s="98"/>
      <c r="MWX130" s="98"/>
      <c r="MWY130" s="98"/>
      <c r="MWZ130" s="98"/>
      <c r="MXA130" s="98"/>
      <c r="MXB130" s="98"/>
      <c r="MXC130" s="98"/>
      <c r="MXD130" s="98"/>
      <c r="MXE130" s="98"/>
      <c r="MXF130" s="98"/>
      <c r="MXG130" s="98"/>
      <c r="MXH130" s="98"/>
      <c r="MXI130" s="98"/>
      <c r="MXJ130" s="98"/>
      <c r="MXK130" s="98"/>
      <c r="MXL130" s="98"/>
      <c r="MXM130" s="98"/>
      <c r="MXN130" s="98"/>
      <c r="MXO130" s="98"/>
      <c r="MXP130" s="98"/>
      <c r="MXQ130" s="98"/>
      <c r="MXR130" s="98"/>
      <c r="MXS130" s="98"/>
      <c r="MXT130" s="98"/>
      <c r="MXU130" s="98"/>
      <c r="MXV130" s="98"/>
      <c r="MXW130" s="98"/>
      <c r="MXX130" s="98"/>
      <c r="MXY130" s="98"/>
      <c r="MXZ130" s="98"/>
      <c r="MYA130" s="98"/>
      <c r="MYB130" s="98"/>
      <c r="MYC130" s="98"/>
      <c r="MYD130" s="98"/>
      <c r="MYE130" s="98"/>
      <c r="MYF130" s="98"/>
      <c r="MYG130" s="98"/>
      <c r="MYH130" s="98"/>
      <c r="MYI130" s="98"/>
      <c r="MYJ130" s="98"/>
      <c r="MYK130" s="98"/>
      <c r="MYL130" s="98"/>
      <c r="MYM130" s="98"/>
      <c r="MYN130" s="98"/>
      <c r="MYO130" s="98"/>
      <c r="MYP130" s="98"/>
      <c r="MYQ130" s="98"/>
      <c r="MYR130" s="98"/>
      <c r="MYS130" s="98"/>
      <c r="MYT130" s="98"/>
      <c r="MYU130" s="98"/>
      <c r="MYV130" s="98"/>
      <c r="MYW130" s="98"/>
      <c r="MYX130" s="98"/>
      <c r="MYY130" s="98"/>
      <c r="MYZ130" s="98"/>
      <c r="MZA130" s="98"/>
      <c r="MZB130" s="98"/>
      <c r="MZC130" s="98"/>
      <c r="MZD130" s="98"/>
      <c r="MZE130" s="98"/>
      <c r="MZF130" s="98"/>
      <c r="MZG130" s="98"/>
      <c r="MZH130" s="98"/>
      <c r="MZI130" s="98"/>
      <c r="MZJ130" s="98"/>
      <c r="MZK130" s="98"/>
      <c r="MZL130" s="98"/>
      <c r="MZM130" s="98"/>
      <c r="MZN130" s="98"/>
      <c r="MZO130" s="98"/>
      <c r="MZP130" s="98"/>
      <c r="MZQ130" s="98"/>
      <c r="MZR130" s="98"/>
      <c r="MZS130" s="98"/>
      <c r="MZT130" s="98"/>
      <c r="MZU130" s="98"/>
      <c r="MZV130" s="98"/>
      <c r="MZW130" s="98"/>
      <c r="MZX130" s="98"/>
      <c r="MZY130" s="98"/>
      <c r="MZZ130" s="98"/>
      <c r="NAA130" s="98"/>
      <c r="NAB130" s="98"/>
      <c r="NAC130" s="98"/>
      <c r="NAD130" s="98"/>
      <c r="NAE130" s="98"/>
      <c r="NAF130" s="98"/>
      <c r="NAG130" s="98"/>
      <c r="NAH130" s="98"/>
      <c r="NAI130" s="98"/>
      <c r="NAJ130" s="98"/>
      <c r="NAK130" s="98"/>
      <c r="NAL130" s="98"/>
      <c r="NAM130" s="98"/>
      <c r="NAN130" s="98"/>
      <c r="NAO130" s="98"/>
      <c r="NAP130" s="98"/>
      <c r="NAQ130" s="98"/>
      <c r="NAR130" s="98"/>
      <c r="NAS130" s="98"/>
      <c r="NAT130" s="98"/>
      <c r="NAU130" s="98"/>
      <c r="NAV130" s="98"/>
      <c r="NAW130" s="98"/>
      <c r="NAX130" s="98"/>
      <c r="NAY130" s="98"/>
      <c r="NAZ130" s="98"/>
      <c r="NBA130" s="98"/>
      <c r="NBB130" s="98"/>
      <c r="NBC130" s="98"/>
      <c r="NBD130" s="98"/>
      <c r="NBE130" s="98"/>
      <c r="NBF130" s="98"/>
      <c r="NBG130" s="98"/>
      <c r="NBH130" s="98"/>
      <c r="NBI130" s="98"/>
      <c r="NBJ130" s="98"/>
      <c r="NBK130" s="98"/>
      <c r="NBL130" s="98"/>
      <c r="NBM130" s="98"/>
      <c r="NBN130" s="98"/>
      <c r="NBO130" s="98"/>
      <c r="NBP130" s="98"/>
      <c r="NBQ130" s="98"/>
      <c r="NBR130" s="98"/>
      <c r="NBS130" s="98"/>
      <c r="NBT130" s="98"/>
      <c r="NBU130" s="98"/>
      <c r="NBV130" s="98"/>
      <c r="NBW130" s="98"/>
      <c r="NBX130" s="98"/>
      <c r="NBY130" s="98"/>
      <c r="NBZ130" s="98"/>
      <c r="NCA130" s="98"/>
      <c r="NCB130" s="98"/>
      <c r="NCC130" s="98"/>
      <c r="NCD130" s="98"/>
      <c r="NCE130" s="98"/>
      <c r="NCF130" s="98"/>
      <c r="NCG130" s="98"/>
      <c r="NCH130" s="98"/>
      <c r="NCI130" s="98"/>
      <c r="NCJ130" s="98"/>
      <c r="NCK130" s="98"/>
      <c r="NCL130" s="98"/>
      <c r="NCM130" s="98"/>
      <c r="NCN130" s="98"/>
      <c r="NCO130" s="98"/>
      <c r="NCP130" s="98"/>
      <c r="NCQ130" s="98"/>
      <c r="NCR130" s="98"/>
      <c r="NCS130" s="98"/>
      <c r="NCT130" s="98"/>
      <c r="NCU130" s="98"/>
      <c r="NCV130" s="98"/>
      <c r="NCW130" s="98"/>
      <c r="NCX130" s="98"/>
      <c r="NCY130" s="98"/>
      <c r="NCZ130" s="98"/>
      <c r="NDA130" s="98"/>
      <c r="NDB130" s="98"/>
      <c r="NDC130" s="98"/>
      <c r="NDD130" s="98"/>
      <c r="NDE130" s="98"/>
      <c r="NDF130" s="98"/>
      <c r="NDG130" s="98"/>
      <c r="NDH130" s="98"/>
      <c r="NDI130" s="98"/>
      <c r="NDJ130" s="98"/>
      <c r="NDK130" s="98"/>
      <c r="NDL130" s="98"/>
      <c r="NDM130" s="98"/>
      <c r="NDN130" s="98"/>
      <c r="NDO130" s="98"/>
      <c r="NDP130" s="98"/>
      <c r="NDQ130" s="98"/>
      <c r="NDR130" s="98"/>
      <c r="NDS130" s="98"/>
      <c r="NDT130" s="98"/>
      <c r="NDU130" s="98"/>
      <c r="NDV130" s="98"/>
      <c r="NDW130" s="98"/>
      <c r="NDX130" s="98"/>
      <c r="NDY130" s="98"/>
      <c r="NDZ130" s="98"/>
      <c r="NEA130" s="98"/>
      <c r="NEB130" s="98"/>
      <c r="NEC130" s="98"/>
      <c r="NED130" s="98"/>
      <c r="NEE130" s="98"/>
      <c r="NEF130" s="98"/>
      <c r="NEG130" s="98"/>
      <c r="NEH130" s="98"/>
      <c r="NEI130" s="98"/>
      <c r="NEJ130" s="98"/>
      <c r="NEK130" s="98"/>
      <c r="NEL130" s="98"/>
      <c r="NEM130" s="98"/>
      <c r="NEN130" s="98"/>
      <c r="NEO130" s="98"/>
      <c r="NEP130" s="98"/>
      <c r="NEQ130" s="98"/>
      <c r="NER130" s="98"/>
      <c r="NES130" s="98"/>
      <c r="NET130" s="98"/>
      <c r="NEU130" s="98"/>
      <c r="NEV130" s="98"/>
      <c r="NEW130" s="98"/>
      <c r="NEX130" s="98"/>
      <c r="NEY130" s="98"/>
      <c r="NEZ130" s="98"/>
      <c r="NFA130" s="98"/>
      <c r="NFB130" s="98"/>
      <c r="NFC130" s="98"/>
      <c r="NFD130" s="98"/>
      <c r="NFE130" s="98"/>
      <c r="NFF130" s="98"/>
      <c r="NFG130" s="98"/>
      <c r="NFH130" s="98"/>
      <c r="NFI130" s="98"/>
      <c r="NFJ130" s="98"/>
      <c r="NFK130" s="98"/>
      <c r="NFL130" s="98"/>
      <c r="NFM130" s="98"/>
      <c r="NFN130" s="98"/>
      <c r="NFO130" s="98"/>
      <c r="NFP130" s="98"/>
      <c r="NFQ130" s="98"/>
      <c r="NFR130" s="98"/>
      <c r="NFS130" s="98"/>
      <c r="NFT130" s="98"/>
      <c r="NFU130" s="98"/>
      <c r="NFV130" s="98"/>
      <c r="NFW130" s="98"/>
      <c r="NFX130" s="98"/>
      <c r="NFY130" s="98"/>
      <c r="NFZ130" s="98"/>
      <c r="NGA130" s="98"/>
      <c r="NGB130" s="98"/>
      <c r="NGC130" s="98"/>
      <c r="NGD130" s="98"/>
      <c r="NGE130" s="98"/>
      <c r="NGF130" s="98"/>
      <c r="NGG130" s="98"/>
      <c r="NGH130" s="98"/>
      <c r="NGI130" s="98"/>
      <c r="NGJ130" s="98"/>
      <c r="NGK130" s="98"/>
      <c r="NGL130" s="98"/>
      <c r="NGM130" s="98"/>
      <c r="NGN130" s="98"/>
      <c r="NGO130" s="98"/>
      <c r="NGP130" s="98"/>
      <c r="NGQ130" s="98"/>
      <c r="NGR130" s="98"/>
      <c r="NGS130" s="98"/>
      <c r="NGT130" s="98"/>
      <c r="NGU130" s="98"/>
      <c r="NGV130" s="98"/>
      <c r="NGW130" s="98"/>
      <c r="NGX130" s="98"/>
      <c r="NGY130" s="98"/>
      <c r="NGZ130" s="98"/>
      <c r="NHA130" s="98"/>
      <c r="NHB130" s="98"/>
      <c r="NHC130" s="98"/>
      <c r="NHD130" s="98"/>
      <c r="NHE130" s="98"/>
      <c r="NHF130" s="98"/>
      <c r="NHG130" s="98"/>
      <c r="NHH130" s="98"/>
      <c r="NHI130" s="98"/>
      <c r="NHJ130" s="98"/>
      <c r="NHK130" s="98"/>
      <c r="NHL130" s="98"/>
      <c r="NHM130" s="98"/>
      <c r="NHN130" s="98"/>
      <c r="NHO130" s="98"/>
      <c r="NHP130" s="98"/>
      <c r="NHQ130" s="98"/>
      <c r="NHR130" s="98"/>
      <c r="NHS130" s="98"/>
      <c r="NHT130" s="98"/>
      <c r="NHU130" s="98"/>
      <c r="NHV130" s="98"/>
      <c r="NHW130" s="98"/>
      <c r="NHX130" s="98"/>
      <c r="NHY130" s="98"/>
      <c r="NHZ130" s="98"/>
      <c r="NIA130" s="98"/>
      <c r="NIB130" s="98"/>
      <c r="NIC130" s="98"/>
      <c r="NID130" s="98"/>
      <c r="NIE130" s="98"/>
      <c r="NIF130" s="98"/>
      <c r="NIG130" s="98"/>
      <c r="NIH130" s="98"/>
      <c r="NII130" s="98"/>
      <c r="NIJ130" s="98"/>
      <c r="NIK130" s="98"/>
      <c r="NIL130" s="98"/>
      <c r="NIM130" s="98"/>
      <c r="NIN130" s="98"/>
      <c r="NIO130" s="98"/>
      <c r="NIP130" s="98"/>
      <c r="NIQ130" s="98"/>
      <c r="NIR130" s="98"/>
      <c r="NIS130" s="98"/>
      <c r="NIT130" s="98"/>
      <c r="NIU130" s="98"/>
      <c r="NIV130" s="98"/>
      <c r="NIW130" s="98"/>
      <c r="NIX130" s="98"/>
      <c r="NIY130" s="98"/>
      <c r="NIZ130" s="98"/>
      <c r="NJA130" s="98"/>
      <c r="NJB130" s="98"/>
      <c r="NJC130" s="98"/>
      <c r="NJD130" s="98"/>
      <c r="NJE130" s="98"/>
      <c r="NJF130" s="98"/>
      <c r="NJG130" s="98"/>
      <c r="NJH130" s="98"/>
      <c r="NJI130" s="98"/>
      <c r="NJJ130" s="98"/>
      <c r="NJK130" s="98"/>
      <c r="NJL130" s="98"/>
      <c r="NJM130" s="98"/>
      <c r="NJN130" s="98"/>
      <c r="NJO130" s="98"/>
      <c r="NJP130" s="98"/>
      <c r="NJQ130" s="98"/>
      <c r="NJR130" s="98"/>
      <c r="NJS130" s="98"/>
      <c r="NJT130" s="98"/>
      <c r="NJU130" s="98"/>
      <c r="NJV130" s="98"/>
      <c r="NJW130" s="98"/>
      <c r="NJX130" s="98"/>
      <c r="NJY130" s="98"/>
      <c r="NJZ130" s="98"/>
      <c r="NKA130" s="98"/>
      <c r="NKB130" s="98"/>
      <c r="NKC130" s="98"/>
      <c r="NKD130" s="98"/>
      <c r="NKE130" s="98"/>
      <c r="NKF130" s="98"/>
      <c r="NKG130" s="98"/>
      <c r="NKH130" s="98"/>
      <c r="NKI130" s="98"/>
      <c r="NKJ130" s="98"/>
      <c r="NKK130" s="98"/>
      <c r="NKL130" s="98"/>
      <c r="NKM130" s="98"/>
      <c r="NKN130" s="98"/>
      <c r="NKO130" s="98"/>
      <c r="NKP130" s="98"/>
      <c r="NKQ130" s="98"/>
      <c r="NKR130" s="98"/>
      <c r="NKS130" s="98"/>
      <c r="NKT130" s="98"/>
      <c r="NKU130" s="98"/>
      <c r="NKV130" s="98"/>
      <c r="NKW130" s="98"/>
      <c r="NKX130" s="98"/>
      <c r="NKY130" s="98"/>
      <c r="NKZ130" s="98"/>
      <c r="NLA130" s="98"/>
      <c r="NLB130" s="98"/>
      <c r="NLC130" s="98"/>
      <c r="NLD130" s="98"/>
      <c r="NLE130" s="98"/>
      <c r="NLF130" s="98"/>
      <c r="NLG130" s="98"/>
      <c r="NLH130" s="98"/>
      <c r="NLI130" s="98"/>
      <c r="NLJ130" s="98"/>
      <c r="NLK130" s="98"/>
      <c r="NLL130" s="98"/>
      <c r="NLM130" s="98"/>
      <c r="NLN130" s="98"/>
      <c r="NLO130" s="98"/>
      <c r="NLP130" s="98"/>
      <c r="NLQ130" s="98"/>
      <c r="NLR130" s="98"/>
      <c r="NLS130" s="98"/>
      <c r="NLT130" s="98"/>
      <c r="NLU130" s="98"/>
      <c r="NLV130" s="98"/>
      <c r="NLW130" s="98"/>
      <c r="NLX130" s="98"/>
      <c r="NLY130" s="98"/>
      <c r="NLZ130" s="98"/>
      <c r="NMA130" s="98"/>
      <c r="NMB130" s="98"/>
      <c r="NMC130" s="98"/>
      <c r="NMD130" s="98"/>
      <c r="NME130" s="98"/>
      <c r="NMF130" s="98"/>
      <c r="NMG130" s="98"/>
      <c r="NMH130" s="98"/>
      <c r="NMI130" s="98"/>
      <c r="NMJ130" s="98"/>
      <c r="NMK130" s="98"/>
      <c r="NML130" s="98"/>
      <c r="NMM130" s="98"/>
      <c r="NMN130" s="98"/>
      <c r="NMO130" s="98"/>
      <c r="NMP130" s="98"/>
      <c r="NMQ130" s="98"/>
      <c r="NMR130" s="98"/>
      <c r="NMS130" s="98"/>
      <c r="NMT130" s="98"/>
      <c r="NMU130" s="98"/>
      <c r="NMV130" s="98"/>
      <c r="NMW130" s="98"/>
      <c r="NMX130" s="98"/>
      <c r="NMY130" s="98"/>
      <c r="NMZ130" s="98"/>
      <c r="NNA130" s="98"/>
      <c r="NNB130" s="98"/>
      <c r="NNC130" s="98"/>
      <c r="NND130" s="98"/>
      <c r="NNE130" s="98"/>
      <c r="NNF130" s="98"/>
      <c r="NNG130" s="98"/>
      <c r="NNH130" s="98"/>
      <c r="NNI130" s="98"/>
      <c r="NNJ130" s="98"/>
      <c r="NNK130" s="98"/>
      <c r="NNL130" s="98"/>
      <c r="NNM130" s="98"/>
      <c r="NNN130" s="98"/>
      <c r="NNO130" s="98"/>
      <c r="NNP130" s="98"/>
      <c r="NNQ130" s="98"/>
      <c r="NNR130" s="98"/>
      <c r="NNS130" s="98"/>
      <c r="NNT130" s="98"/>
      <c r="NNU130" s="98"/>
      <c r="NNV130" s="98"/>
      <c r="NNW130" s="98"/>
      <c r="NNX130" s="98"/>
      <c r="NNY130" s="98"/>
      <c r="NNZ130" s="98"/>
      <c r="NOA130" s="98"/>
      <c r="NOB130" s="98"/>
      <c r="NOC130" s="98"/>
      <c r="NOD130" s="98"/>
      <c r="NOE130" s="98"/>
      <c r="NOF130" s="98"/>
      <c r="NOG130" s="98"/>
      <c r="NOH130" s="98"/>
      <c r="NOI130" s="98"/>
      <c r="NOJ130" s="98"/>
      <c r="NOK130" s="98"/>
      <c r="NOL130" s="98"/>
      <c r="NOM130" s="98"/>
      <c r="NON130" s="98"/>
      <c r="NOO130" s="98"/>
      <c r="NOP130" s="98"/>
      <c r="NOQ130" s="98"/>
      <c r="NOR130" s="98"/>
      <c r="NOS130" s="98"/>
      <c r="NOT130" s="98"/>
      <c r="NOU130" s="98"/>
      <c r="NOV130" s="98"/>
      <c r="NOW130" s="98"/>
      <c r="NOX130" s="98"/>
      <c r="NOY130" s="98"/>
      <c r="NOZ130" s="98"/>
      <c r="NPA130" s="98"/>
      <c r="NPB130" s="98"/>
      <c r="NPC130" s="98"/>
      <c r="NPD130" s="98"/>
      <c r="NPE130" s="98"/>
      <c r="NPF130" s="98"/>
      <c r="NPG130" s="98"/>
      <c r="NPH130" s="98"/>
      <c r="NPI130" s="98"/>
      <c r="NPJ130" s="98"/>
      <c r="NPK130" s="98"/>
      <c r="NPL130" s="98"/>
      <c r="NPM130" s="98"/>
      <c r="NPN130" s="98"/>
      <c r="NPO130" s="98"/>
      <c r="NPP130" s="98"/>
      <c r="NPQ130" s="98"/>
      <c r="NPR130" s="98"/>
      <c r="NPS130" s="98"/>
      <c r="NPT130" s="98"/>
      <c r="NPU130" s="98"/>
      <c r="NPV130" s="98"/>
      <c r="NPW130" s="98"/>
      <c r="NPX130" s="98"/>
      <c r="NPY130" s="98"/>
      <c r="NPZ130" s="98"/>
      <c r="NQA130" s="98"/>
      <c r="NQB130" s="98"/>
      <c r="NQC130" s="98"/>
      <c r="NQD130" s="98"/>
      <c r="NQE130" s="98"/>
      <c r="NQF130" s="98"/>
      <c r="NQG130" s="98"/>
      <c r="NQH130" s="98"/>
      <c r="NQI130" s="98"/>
      <c r="NQJ130" s="98"/>
      <c r="NQK130" s="98"/>
      <c r="NQL130" s="98"/>
      <c r="NQM130" s="98"/>
      <c r="NQN130" s="98"/>
      <c r="NQO130" s="98"/>
      <c r="NQP130" s="98"/>
      <c r="NQQ130" s="98"/>
      <c r="NQR130" s="98"/>
      <c r="NQS130" s="98"/>
      <c r="NQT130" s="98"/>
      <c r="NQU130" s="98"/>
      <c r="NQV130" s="98"/>
      <c r="NQW130" s="98"/>
      <c r="NQX130" s="98"/>
      <c r="NQY130" s="98"/>
      <c r="NQZ130" s="98"/>
      <c r="NRA130" s="98"/>
      <c r="NRB130" s="98"/>
      <c r="NRC130" s="98"/>
      <c r="NRD130" s="98"/>
      <c r="NRE130" s="98"/>
      <c r="NRF130" s="98"/>
      <c r="NRG130" s="98"/>
      <c r="NRH130" s="98"/>
      <c r="NRI130" s="98"/>
      <c r="NRJ130" s="98"/>
      <c r="NRK130" s="98"/>
      <c r="NRL130" s="98"/>
      <c r="NRM130" s="98"/>
      <c r="NRN130" s="98"/>
      <c r="NRO130" s="98"/>
      <c r="NRP130" s="98"/>
      <c r="NRQ130" s="98"/>
      <c r="NRR130" s="98"/>
      <c r="NRS130" s="98"/>
      <c r="NRT130" s="98"/>
      <c r="NRU130" s="98"/>
      <c r="NRV130" s="98"/>
      <c r="NRW130" s="98"/>
      <c r="NRX130" s="98"/>
      <c r="NRY130" s="98"/>
      <c r="NRZ130" s="98"/>
      <c r="NSA130" s="98"/>
      <c r="NSB130" s="98"/>
      <c r="NSC130" s="98"/>
      <c r="NSD130" s="98"/>
      <c r="NSE130" s="98"/>
      <c r="NSF130" s="98"/>
      <c r="NSG130" s="98"/>
      <c r="NSH130" s="98"/>
      <c r="NSI130" s="98"/>
      <c r="NSJ130" s="98"/>
      <c r="NSK130" s="98"/>
      <c r="NSL130" s="98"/>
      <c r="NSM130" s="98"/>
      <c r="NSN130" s="98"/>
      <c r="NSO130" s="98"/>
      <c r="NSP130" s="98"/>
      <c r="NSQ130" s="98"/>
      <c r="NSR130" s="98"/>
      <c r="NSS130" s="98"/>
      <c r="NST130" s="98"/>
      <c r="NSU130" s="98"/>
      <c r="NSV130" s="98"/>
      <c r="NSW130" s="98"/>
      <c r="NSX130" s="98"/>
      <c r="NSY130" s="98"/>
      <c r="NSZ130" s="98"/>
      <c r="NTA130" s="98"/>
      <c r="NTB130" s="98"/>
      <c r="NTC130" s="98"/>
      <c r="NTD130" s="98"/>
      <c r="NTE130" s="98"/>
      <c r="NTF130" s="98"/>
      <c r="NTG130" s="98"/>
      <c r="NTH130" s="98"/>
      <c r="NTI130" s="98"/>
      <c r="NTJ130" s="98"/>
      <c r="NTK130" s="98"/>
      <c r="NTL130" s="98"/>
      <c r="NTM130" s="98"/>
      <c r="NTN130" s="98"/>
      <c r="NTO130" s="98"/>
      <c r="NTP130" s="98"/>
      <c r="NTQ130" s="98"/>
      <c r="NTR130" s="98"/>
      <c r="NTS130" s="98"/>
      <c r="NTT130" s="98"/>
      <c r="NTU130" s="98"/>
      <c r="NTV130" s="98"/>
      <c r="NTW130" s="98"/>
      <c r="NTX130" s="98"/>
      <c r="NTY130" s="98"/>
      <c r="NTZ130" s="98"/>
      <c r="NUA130" s="98"/>
      <c r="NUB130" s="98"/>
      <c r="NUC130" s="98"/>
      <c r="NUD130" s="98"/>
      <c r="NUE130" s="98"/>
      <c r="NUF130" s="98"/>
      <c r="NUG130" s="98"/>
      <c r="NUH130" s="98"/>
      <c r="NUI130" s="98"/>
      <c r="NUJ130" s="98"/>
      <c r="NUK130" s="98"/>
      <c r="NUL130" s="98"/>
      <c r="NUM130" s="98"/>
      <c r="NUN130" s="98"/>
      <c r="NUO130" s="98"/>
      <c r="NUP130" s="98"/>
      <c r="NUQ130" s="98"/>
      <c r="NUR130" s="98"/>
      <c r="NUS130" s="98"/>
      <c r="NUT130" s="98"/>
      <c r="NUU130" s="98"/>
      <c r="NUV130" s="98"/>
      <c r="NUW130" s="98"/>
      <c r="NUX130" s="98"/>
      <c r="NUY130" s="98"/>
      <c r="NUZ130" s="98"/>
      <c r="NVA130" s="98"/>
      <c r="NVB130" s="98"/>
      <c r="NVC130" s="98"/>
      <c r="NVD130" s="98"/>
      <c r="NVE130" s="98"/>
      <c r="NVF130" s="98"/>
      <c r="NVG130" s="98"/>
      <c r="NVH130" s="98"/>
      <c r="NVI130" s="98"/>
      <c r="NVJ130" s="98"/>
      <c r="NVK130" s="98"/>
      <c r="NVL130" s="98"/>
      <c r="NVM130" s="98"/>
      <c r="NVN130" s="98"/>
      <c r="NVO130" s="98"/>
      <c r="NVP130" s="98"/>
      <c r="NVQ130" s="98"/>
      <c r="NVR130" s="98"/>
      <c r="NVS130" s="98"/>
      <c r="NVT130" s="98"/>
      <c r="NVU130" s="98"/>
      <c r="NVV130" s="98"/>
      <c r="NVW130" s="98"/>
      <c r="NVX130" s="98"/>
      <c r="NVY130" s="98"/>
      <c r="NVZ130" s="98"/>
      <c r="NWA130" s="98"/>
      <c r="NWB130" s="98"/>
      <c r="NWC130" s="98"/>
      <c r="NWD130" s="98"/>
      <c r="NWE130" s="98"/>
      <c r="NWF130" s="98"/>
      <c r="NWG130" s="98"/>
      <c r="NWH130" s="98"/>
      <c r="NWI130" s="98"/>
      <c r="NWJ130" s="98"/>
      <c r="NWK130" s="98"/>
      <c r="NWL130" s="98"/>
      <c r="NWM130" s="98"/>
      <c r="NWN130" s="98"/>
      <c r="NWO130" s="98"/>
      <c r="NWP130" s="98"/>
      <c r="NWQ130" s="98"/>
      <c r="NWR130" s="98"/>
      <c r="NWS130" s="98"/>
      <c r="NWT130" s="98"/>
      <c r="NWU130" s="98"/>
      <c r="NWV130" s="98"/>
      <c r="NWW130" s="98"/>
      <c r="NWX130" s="98"/>
      <c r="NWY130" s="98"/>
      <c r="NWZ130" s="98"/>
      <c r="NXA130" s="98"/>
      <c r="NXB130" s="98"/>
      <c r="NXC130" s="98"/>
      <c r="NXD130" s="98"/>
      <c r="NXE130" s="98"/>
      <c r="NXF130" s="98"/>
      <c r="NXG130" s="98"/>
      <c r="NXH130" s="98"/>
      <c r="NXI130" s="98"/>
      <c r="NXJ130" s="98"/>
      <c r="NXK130" s="98"/>
      <c r="NXL130" s="98"/>
      <c r="NXM130" s="98"/>
      <c r="NXN130" s="98"/>
      <c r="NXO130" s="98"/>
      <c r="NXP130" s="98"/>
      <c r="NXQ130" s="98"/>
      <c r="NXR130" s="98"/>
      <c r="NXS130" s="98"/>
      <c r="NXT130" s="98"/>
      <c r="NXU130" s="98"/>
      <c r="NXV130" s="98"/>
      <c r="NXW130" s="98"/>
      <c r="NXX130" s="98"/>
      <c r="NXY130" s="98"/>
      <c r="NXZ130" s="98"/>
      <c r="NYA130" s="98"/>
      <c r="NYB130" s="98"/>
      <c r="NYC130" s="98"/>
      <c r="NYD130" s="98"/>
      <c r="NYE130" s="98"/>
      <c r="NYF130" s="98"/>
      <c r="NYG130" s="98"/>
      <c r="NYH130" s="98"/>
      <c r="NYI130" s="98"/>
      <c r="NYJ130" s="98"/>
      <c r="NYK130" s="98"/>
      <c r="NYL130" s="98"/>
      <c r="NYM130" s="98"/>
      <c r="NYN130" s="98"/>
      <c r="NYO130" s="98"/>
      <c r="NYP130" s="98"/>
      <c r="NYQ130" s="98"/>
      <c r="NYR130" s="98"/>
      <c r="NYS130" s="98"/>
      <c r="NYT130" s="98"/>
      <c r="NYU130" s="98"/>
      <c r="NYV130" s="98"/>
      <c r="NYW130" s="98"/>
      <c r="NYX130" s="98"/>
      <c r="NYY130" s="98"/>
      <c r="NYZ130" s="98"/>
      <c r="NZA130" s="98"/>
      <c r="NZB130" s="98"/>
      <c r="NZC130" s="98"/>
      <c r="NZD130" s="98"/>
      <c r="NZE130" s="98"/>
      <c r="NZF130" s="98"/>
      <c r="NZG130" s="98"/>
      <c r="NZH130" s="98"/>
      <c r="NZI130" s="98"/>
      <c r="NZJ130" s="98"/>
      <c r="NZK130" s="98"/>
      <c r="NZL130" s="98"/>
      <c r="NZM130" s="98"/>
      <c r="NZN130" s="98"/>
      <c r="NZO130" s="98"/>
      <c r="NZP130" s="98"/>
      <c r="NZQ130" s="98"/>
      <c r="NZR130" s="98"/>
      <c r="NZS130" s="98"/>
      <c r="NZT130" s="98"/>
      <c r="NZU130" s="98"/>
      <c r="NZV130" s="98"/>
      <c r="NZW130" s="98"/>
      <c r="NZX130" s="98"/>
      <c r="NZY130" s="98"/>
      <c r="NZZ130" s="98"/>
      <c r="OAA130" s="98"/>
      <c r="OAB130" s="98"/>
      <c r="OAC130" s="98"/>
      <c r="OAD130" s="98"/>
      <c r="OAE130" s="98"/>
      <c r="OAF130" s="98"/>
      <c r="OAG130" s="98"/>
      <c r="OAH130" s="98"/>
      <c r="OAI130" s="98"/>
      <c r="OAJ130" s="98"/>
      <c r="OAK130" s="98"/>
      <c r="OAL130" s="98"/>
      <c r="OAM130" s="98"/>
      <c r="OAN130" s="98"/>
      <c r="OAO130" s="98"/>
      <c r="OAP130" s="98"/>
      <c r="OAQ130" s="98"/>
      <c r="OAR130" s="98"/>
      <c r="OAS130" s="98"/>
      <c r="OAT130" s="98"/>
      <c r="OAU130" s="98"/>
      <c r="OAV130" s="98"/>
      <c r="OAW130" s="98"/>
      <c r="OAX130" s="98"/>
      <c r="OAY130" s="98"/>
      <c r="OAZ130" s="98"/>
      <c r="OBA130" s="98"/>
      <c r="OBB130" s="98"/>
      <c r="OBC130" s="98"/>
      <c r="OBD130" s="98"/>
      <c r="OBE130" s="98"/>
      <c r="OBF130" s="98"/>
      <c r="OBG130" s="98"/>
      <c r="OBH130" s="98"/>
      <c r="OBI130" s="98"/>
      <c r="OBJ130" s="98"/>
      <c r="OBK130" s="98"/>
      <c r="OBL130" s="98"/>
      <c r="OBM130" s="98"/>
      <c r="OBN130" s="98"/>
      <c r="OBO130" s="98"/>
      <c r="OBP130" s="98"/>
      <c r="OBQ130" s="98"/>
      <c r="OBR130" s="98"/>
      <c r="OBS130" s="98"/>
      <c r="OBT130" s="98"/>
      <c r="OBU130" s="98"/>
      <c r="OBV130" s="98"/>
      <c r="OBW130" s="98"/>
      <c r="OBX130" s="98"/>
      <c r="OBY130" s="98"/>
      <c r="OBZ130" s="98"/>
      <c r="OCA130" s="98"/>
      <c r="OCB130" s="98"/>
      <c r="OCC130" s="98"/>
      <c r="OCD130" s="98"/>
      <c r="OCE130" s="98"/>
      <c r="OCF130" s="98"/>
      <c r="OCG130" s="98"/>
      <c r="OCH130" s="98"/>
      <c r="OCI130" s="98"/>
      <c r="OCJ130" s="98"/>
      <c r="OCK130" s="98"/>
      <c r="OCL130" s="98"/>
      <c r="OCM130" s="98"/>
      <c r="OCN130" s="98"/>
      <c r="OCO130" s="98"/>
      <c r="OCP130" s="98"/>
      <c r="OCQ130" s="98"/>
      <c r="OCR130" s="98"/>
      <c r="OCS130" s="98"/>
      <c r="OCT130" s="98"/>
      <c r="OCU130" s="98"/>
      <c r="OCV130" s="98"/>
      <c r="OCW130" s="98"/>
      <c r="OCX130" s="98"/>
      <c r="OCY130" s="98"/>
      <c r="OCZ130" s="98"/>
      <c r="ODA130" s="98"/>
      <c r="ODB130" s="98"/>
      <c r="ODC130" s="98"/>
      <c r="ODD130" s="98"/>
      <c r="ODE130" s="98"/>
      <c r="ODF130" s="98"/>
      <c r="ODG130" s="98"/>
      <c r="ODH130" s="98"/>
      <c r="ODI130" s="98"/>
      <c r="ODJ130" s="98"/>
      <c r="ODK130" s="98"/>
      <c r="ODL130" s="98"/>
      <c r="ODM130" s="98"/>
      <c r="ODN130" s="98"/>
      <c r="ODO130" s="98"/>
      <c r="ODP130" s="98"/>
      <c r="ODQ130" s="98"/>
      <c r="ODR130" s="98"/>
      <c r="ODS130" s="98"/>
      <c r="ODT130" s="98"/>
      <c r="ODU130" s="98"/>
      <c r="ODV130" s="98"/>
      <c r="ODW130" s="98"/>
      <c r="ODX130" s="98"/>
      <c r="ODY130" s="98"/>
      <c r="ODZ130" s="98"/>
      <c r="OEA130" s="98"/>
      <c r="OEB130" s="98"/>
      <c r="OEC130" s="98"/>
      <c r="OED130" s="98"/>
      <c r="OEE130" s="98"/>
      <c r="OEF130" s="98"/>
      <c r="OEG130" s="98"/>
      <c r="OEH130" s="98"/>
      <c r="OEI130" s="98"/>
      <c r="OEJ130" s="98"/>
      <c r="OEK130" s="98"/>
      <c r="OEL130" s="98"/>
      <c r="OEM130" s="98"/>
      <c r="OEN130" s="98"/>
      <c r="OEO130" s="98"/>
      <c r="OEP130" s="98"/>
      <c r="OEQ130" s="98"/>
      <c r="OER130" s="98"/>
      <c r="OES130" s="98"/>
      <c r="OET130" s="98"/>
      <c r="OEU130" s="98"/>
      <c r="OEV130" s="98"/>
      <c r="OEW130" s="98"/>
      <c r="OEX130" s="98"/>
      <c r="OEY130" s="98"/>
      <c r="OEZ130" s="98"/>
      <c r="OFA130" s="98"/>
      <c r="OFB130" s="98"/>
      <c r="OFC130" s="98"/>
      <c r="OFD130" s="98"/>
      <c r="OFE130" s="98"/>
      <c r="OFF130" s="98"/>
      <c r="OFG130" s="98"/>
      <c r="OFH130" s="98"/>
      <c r="OFI130" s="98"/>
      <c r="OFJ130" s="98"/>
      <c r="OFK130" s="98"/>
      <c r="OFL130" s="98"/>
      <c r="OFM130" s="98"/>
      <c r="OFN130" s="98"/>
      <c r="OFO130" s="98"/>
      <c r="OFP130" s="98"/>
      <c r="OFQ130" s="98"/>
      <c r="OFR130" s="98"/>
      <c r="OFS130" s="98"/>
      <c r="OFT130" s="98"/>
      <c r="OFU130" s="98"/>
      <c r="OFV130" s="98"/>
      <c r="OFW130" s="98"/>
      <c r="OFX130" s="98"/>
      <c r="OFY130" s="98"/>
      <c r="OFZ130" s="98"/>
      <c r="OGA130" s="98"/>
      <c r="OGB130" s="98"/>
      <c r="OGC130" s="98"/>
      <c r="OGD130" s="98"/>
      <c r="OGE130" s="98"/>
      <c r="OGF130" s="98"/>
      <c r="OGG130" s="98"/>
      <c r="OGH130" s="98"/>
      <c r="OGI130" s="98"/>
      <c r="OGJ130" s="98"/>
      <c r="OGK130" s="98"/>
      <c r="OGL130" s="98"/>
      <c r="OGM130" s="98"/>
      <c r="OGN130" s="98"/>
      <c r="OGO130" s="98"/>
      <c r="OGP130" s="98"/>
      <c r="OGQ130" s="98"/>
      <c r="OGR130" s="98"/>
      <c r="OGS130" s="98"/>
      <c r="OGT130" s="98"/>
      <c r="OGU130" s="98"/>
      <c r="OGV130" s="98"/>
      <c r="OGW130" s="98"/>
      <c r="OGX130" s="98"/>
      <c r="OGY130" s="98"/>
      <c r="OGZ130" s="98"/>
      <c r="OHA130" s="98"/>
      <c r="OHB130" s="98"/>
      <c r="OHC130" s="98"/>
      <c r="OHD130" s="98"/>
      <c r="OHE130" s="98"/>
      <c r="OHF130" s="98"/>
      <c r="OHG130" s="98"/>
      <c r="OHH130" s="98"/>
      <c r="OHI130" s="98"/>
      <c r="OHJ130" s="98"/>
      <c r="OHK130" s="98"/>
      <c r="OHL130" s="98"/>
      <c r="OHM130" s="98"/>
      <c r="OHN130" s="98"/>
      <c r="OHO130" s="98"/>
      <c r="OHP130" s="98"/>
      <c r="OHQ130" s="98"/>
      <c r="OHR130" s="98"/>
      <c r="OHS130" s="98"/>
      <c r="OHT130" s="98"/>
      <c r="OHU130" s="98"/>
      <c r="OHV130" s="98"/>
      <c r="OHW130" s="98"/>
      <c r="OHX130" s="98"/>
      <c r="OHY130" s="98"/>
      <c r="OHZ130" s="98"/>
      <c r="OIA130" s="98"/>
      <c r="OIB130" s="98"/>
      <c r="OIC130" s="98"/>
      <c r="OID130" s="98"/>
      <c r="OIE130" s="98"/>
      <c r="OIF130" s="98"/>
      <c r="OIG130" s="98"/>
      <c r="OIH130" s="98"/>
      <c r="OII130" s="98"/>
      <c r="OIJ130" s="98"/>
      <c r="OIK130" s="98"/>
      <c r="OIL130" s="98"/>
      <c r="OIM130" s="98"/>
      <c r="OIN130" s="98"/>
      <c r="OIO130" s="98"/>
      <c r="OIP130" s="98"/>
      <c r="OIQ130" s="98"/>
      <c r="OIR130" s="98"/>
      <c r="OIS130" s="98"/>
      <c r="OIT130" s="98"/>
      <c r="OIU130" s="98"/>
      <c r="OIV130" s="98"/>
      <c r="OIW130" s="98"/>
      <c r="OIX130" s="98"/>
      <c r="OIY130" s="98"/>
      <c r="OIZ130" s="98"/>
      <c r="OJA130" s="98"/>
      <c r="OJB130" s="98"/>
      <c r="OJC130" s="98"/>
      <c r="OJD130" s="98"/>
      <c r="OJE130" s="98"/>
      <c r="OJF130" s="98"/>
      <c r="OJG130" s="98"/>
      <c r="OJH130" s="98"/>
      <c r="OJI130" s="98"/>
      <c r="OJJ130" s="98"/>
      <c r="OJK130" s="98"/>
      <c r="OJL130" s="98"/>
      <c r="OJM130" s="98"/>
      <c r="OJN130" s="98"/>
      <c r="OJO130" s="98"/>
      <c r="OJP130" s="98"/>
      <c r="OJQ130" s="98"/>
      <c r="OJR130" s="98"/>
      <c r="OJS130" s="98"/>
      <c r="OJT130" s="98"/>
      <c r="OJU130" s="98"/>
      <c r="OJV130" s="98"/>
      <c r="OJW130" s="98"/>
      <c r="OJX130" s="98"/>
      <c r="OJY130" s="98"/>
      <c r="OJZ130" s="98"/>
      <c r="OKA130" s="98"/>
      <c r="OKB130" s="98"/>
      <c r="OKC130" s="98"/>
      <c r="OKD130" s="98"/>
      <c r="OKE130" s="98"/>
      <c r="OKF130" s="98"/>
      <c r="OKG130" s="98"/>
      <c r="OKH130" s="98"/>
      <c r="OKI130" s="98"/>
      <c r="OKJ130" s="98"/>
      <c r="OKK130" s="98"/>
      <c r="OKL130" s="98"/>
      <c r="OKM130" s="98"/>
      <c r="OKN130" s="98"/>
      <c r="OKO130" s="98"/>
      <c r="OKP130" s="98"/>
      <c r="OKQ130" s="98"/>
      <c r="OKR130" s="98"/>
      <c r="OKS130" s="98"/>
      <c r="OKT130" s="98"/>
      <c r="OKU130" s="98"/>
      <c r="OKV130" s="98"/>
      <c r="OKW130" s="98"/>
      <c r="OKX130" s="98"/>
      <c r="OKY130" s="98"/>
      <c r="OKZ130" s="98"/>
      <c r="OLA130" s="98"/>
      <c r="OLB130" s="98"/>
      <c r="OLC130" s="98"/>
      <c r="OLD130" s="98"/>
      <c r="OLE130" s="98"/>
      <c r="OLF130" s="98"/>
      <c r="OLG130" s="98"/>
      <c r="OLH130" s="98"/>
      <c r="OLI130" s="98"/>
      <c r="OLJ130" s="98"/>
      <c r="OLK130" s="98"/>
      <c r="OLL130" s="98"/>
      <c r="OLM130" s="98"/>
      <c r="OLN130" s="98"/>
      <c r="OLO130" s="98"/>
      <c r="OLP130" s="98"/>
      <c r="OLQ130" s="98"/>
      <c r="OLR130" s="98"/>
      <c r="OLS130" s="98"/>
      <c r="OLT130" s="98"/>
      <c r="OLU130" s="98"/>
      <c r="OLV130" s="98"/>
      <c r="OLW130" s="98"/>
      <c r="OLX130" s="98"/>
      <c r="OLY130" s="98"/>
      <c r="OLZ130" s="98"/>
      <c r="OMA130" s="98"/>
      <c r="OMB130" s="98"/>
      <c r="OMC130" s="98"/>
      <c r="OMD130" s="98"/>
      <c r="OME130" s="98"/>
      <c r="OMF130" s="98"/>
      <c r="OMG130" s="98"/>
      <c r="OMH130" s="98"/>
      <c r="OMI130" s="98"/>
      <c r="OMJ130" s="98"/>
      <c r="OMK130" s="98"/>
      <c r="OML130" s="98"/>
      <c r="OMM130" s="98"/>
      <c r="OMN130" s="98"/>
      <c r="OMO130" s="98"/>
      <c r="OMP130" s="98"/>
      <c r="OMQ130" s="98"/>
      <c r="OMR130" s="98"/>
      <c r="OMS130" s="98"/>
      <c r="OMT130" s="98"/>
      <c r="OMU130" s="98"/>
      <c r="OMV130" s="98"/>
      <c r="OMW130" s="98"/>
      <c r="OMX130" s="98"/>
      <c r="OMY130" s="98"/>
      <c r="OMZ130" s="98"/>
      <c r="ONA130" s="98"/>
      <c r="ONB130" s="98"/>
      <c r="ONC130" s="98"/>
      <c r="OND130" s="98"/>
      <c r="ONE130" s="98"/>
      <c r="ONF130" s="98"/>
      <c r="ONG130" s="98"/>
      <c r="ONH130" s="98"/>
      <c r="ONI130" s="98"/>
      <c r="ONJ130" s="98"/>
      <c r="ONK130" s="98"/>
      <c r="ONL130" s="98"/>
      <c r="ONM130" s="98"/>
      <c r="ONN130" s="98"/>
      <c r="ONO130" s="98"/>
      <c r="ONP130" s="98"/>
      <c r="ONQ130" s="98"/>
      <c r="ONR130" s="98"/>
      <c r="ONS130" s="98"/>
      <c r="ONT130" s="98"/>
      <c r="ONU130" s="98"/>
      <c r="ONV130" s="98"/>
      <c r="ONW130" s="98"/>
      <c r="ONX130" s="98"/>
      <c r="ONY130" s="98"/>
      <c r="ONZ130" s="98"/>
      <c r="OOA130" s="98"/>
      <c r="OOB130" s="98"/>
      <c r="OOC130" s="98"/>
      <c r="OOD130" s="98"/>
      <c r="OOE130" s="98"/>
      <c r="OOF130" s="98"/>
      <c r="OOG130" s="98"/>
      <c r="OOH130" s="98"/>
      <c r="OOI130" s="98"/>
      <c r="OOJ130" s="98"/>
      <c r="OOK130" s="98"/>
      <c r="OOL130" s="98"/>
      <c r="OOM130" s="98"/>
      <c r="OON130" s="98"/>
      <c r="OOO130" s="98"/>
      <c r="OOP130" s="98"/>
      <c r="OOQ130" s="98"/>
      <c r="OOR130" s="98"/>
      <c r="OOS130" s="98"/>
      <c r="OOT130" s="98"/>
      <c r="OOU130" s="98"/>
      <c r="OOV130" s="98"/>
      <c r="OOW130" s="98"/>
      <c r="OOX130" s="98"/>
      <c r="OOY130" s="98"/>
      <c r="OOZ130" s="98"/>
      <c r="OPA130" s="98"/>
      <c r="OPB130" s="98"/>
      <c r="OPC130" s="98"/>
      <c r="OPD130" s="98"/>
      <c r="OPE130" s="98"/>
      <c r="OPF130" s="98"/>
      <c r="OPG130" s="98"/>
      <c r="OPH130" s="98"/>
      <c r="OPI130" s="98"/>
      <c r="OPJ130" s="98"/>
      <c r="OPK130" s="98"/>
      <c r="OPL130" s="98"/>
      <c r="OPM130" s="98"/>
      <c r="OPN130" s="98"/>
      <c r="OPO130" s="98"/>
      <c r="OPP130" s="98"/>
      <c r="OPQ130" s="98"/>
      <c r="OPR130" s="98"/>
      <c r="OPS130" s="98"/>
      <c r="OPT130" s="98"/>
      <c r="OPU130" s="98"/>
      <c r="OPV130" s="98"/>
      <c r="OPW130" s="98"/>
      <c r="OPX130" s="98"/>
      <c r="OPY130" s="98"/>
      <c r="OPZ130" s="98"/>
      <c r="OQA130" s="98"/>
      <c r="OQB130" s="98"/>
      <c r="OQC130" s="98"/>
      <c r="OQD130" s="98"/>
      <c r="OQE130" s="98"/>
      <c r="OQF130" s="98"/>
      <c r="OQG130" s="98"/>
      <c r="OQH130" s="98"/>
      <c r="OQI130" s="98"/>
      <c r="OQJ130" s="98"/>
      <c r="OQK130" s="98"/>
      <c r="OQL130" s="98"/>
      <c r="OQM130" s="98"/>
      <c r="OQN130" s="98"/>
      <c r="OQO130" s="98"/>
      <c r="OQP130" s="98"/>
      <c r="OQQ130" s="98"/>
      <c r="OQR130" s="98"/>
      <c r="OQS130" s="98"/>
      <c r="OQT130" s="98"/>
      <c r="OQU130" s="98"/>
      <c r="OQV130" s="98"/>
      <c r="OQW130" s="98"/>
      <c r="OQX130" s="98"/>
      <c r="OQY130" s="98"/>
      <c r="OQZ130" s="98"/>
      <c r="ORA130" s="98"/>
      <c r="ORB130" s="98"/>
      <c r="ORC130" s="98"/>
      <c r="ORD130" s="98"/>
      <c r="ORE130" s="98"/>
      <c r="ORF130" s="98"/>
      <c r="ORG130" s="98"/>
      <c r="ORH130" s="98"/>
      <c r="ORI130" s="98"/>
      <c r="ORJ130" s="98"/>
      <c r="ORK130" s="98"/>
      <c r="ORL130" s="98"/>
      <c r="ORM130" s="98"/>
      <c r="ORN130" s="98"/>
      <c r="ORO130" s="98"/>
      <c r="ORP130" s="98"/>
      <c r="ORQ130" s="98"/>
      <c r="ORR130" s="98"/>
      <c r="ORS130" s="98"/>
      <c r="ORT130" s="98"/>
      <c r="ORU130" s="98"/>
      <c r="ORV130" s="98"/>
      <c r="ORW130" s="98"/>
      <c r="ORX130" s="98"/>
      <c r="ORY130" s="98"/>
      <c r="ORZ130" s="98"/>
      <c r="OSA130" s="98"/>
      <c r="OSB130" s="98"/>
      <c r="OSC130" s="98"/>
      <c r="OSD130" s="98"/>
      <c r="OSE130" s="98"/>
      <c r="OSF130" s="98"/>
      <c r="OSG130" s="98"/>
      <c r="OSH130" s="98"/>
      <c r="OSI130" s="98"/>
      <c r="OSJ130" s="98"/>
      <c r="OSK130" s="98"/>
      <c r="OSL130" s="98"/>
      <c r="OSM130" s="98"/>
      <c r="OSN130" s="98"/>
      <c r="OSO130" s="98"/>
      <c r="OSP130" s="98"/>
      <c r="OSQ130" s="98"/>
      <c r="OSR130" s="98"/>
      <c r="OSS130" s="98"/>
      <c r="OST130" s="98"/>
      <c r="OSU130" s="98"/>
      <c r="OSV130" s="98"/>
      <c r="OSW130" s="98"/>
      <c r="OSX130" s="98"/>
      <c r="OSY130" s="98"/>
      <c r="OSZ130" s="98"/>
      <c r="OTA130" s="98"/>
      <c r="OTB130" s="98"/>
      <c r="OTC130" s="98"/>
      <c r="OTD130" s="98"/>
      <c r="OTE130" s="98"/>
      <c r="OTF130" s="98"/>
      <c r="OTG130" s="98"/>
      <c r="OTH130" s="98"/>
      <c r="OTI130" s="98"/>
      <c r="OTJ130" s="98"/>
      <c r="OTK130" s="98"/>
      <c r="OTL130" s="98"/>
      <c r="OTM130" s="98"/>
      <c r="OTN130" s="98"/>
      <c r="OTO130" s="98"/>
      <c r="OTP130" s="98"/>
      <c r="OTQ130" s="98"/>
      <c r="OTR130" s="98"/>
      <c r="OTS130" s="98"/>
      <c r="OTT130" s="98"/>
      <c r="OTU130" s="98"/>
      <c r="OTV130" s="98"/>
      <c r="OTW130" s="98"/>
      <c r="OTX130" s="98"/>
      <c r="OTY130" s="98"/>
      <c r="OTZ130" s="98"/>
      <c r="OUA130" s="98"/>
      <c r="OUB130" s="98"/>
      <c r="OUC130" s="98"/>
      <c r="OUD130" s="98"/>
      <c r="OUE130" s="98"/>
      <c r="OUF130" s="98"/>
      <c r="OUG130" s="98"/>
      <c r="OUH130" s="98"/>
      <c r="OUI130" s="98"/>
      <c r="OUJ130" s="98"/>
      <c r="OUK130" s="98"/>
      <c r="OUL130" s="98"/>
      <c r="OUM130" s="98"/>
      <c r="OUN130" s="98"/>
      <c r="OUO130" s="98"/>
      <c r="OUP130" s="98"/>
      <c r="OUQ130" s="98"/>
      <c r="OUR130" s="98"/>
      <c r="OUS130" s="98"/>
      <c r="OUT130" s="98"/>
      <c r="OUU130" s="98"/>
      <c r="OUV130" s="98"/>
      <c r="OUW130" s="98"/>
      <c r="OUX130" s="98"/>
      <c r="OUY130" s="98"/>
      <c r="OUZ130" s="98"/>
      <c r="OVA130" s="98"/>
      <c r="OVB130" s="98"/>
      <c r="OVC130" s="98"/>
      <c r="OVD130" s="98"/>
      <c r="OVE130" s="98"/>
      <c r="OVF130" s="98"/>
      <c r="OVG130" s="98"/>
      <c r="OVH130" s="98"/>
      <c r="OVI130" s="98"/>
      <c r="OVJ130" s="98"/>
      <c r="OVK130" s="98"/>
      <c r="OVL130" s="98"/>
      <c r="OVM130" s="98"/>
      <c r="OVN130" s="98"/>
      <c r="OVO130" s="98"/>
      <c r="OVP130" s="98"/>
      <c r="OVQ130" s="98"/>
      <c r="OVR130" s="98"/>
      <c r="OVS130" s="98"/>
      <c r="OVT130" s="98"/>
      <c r="OVU130" s="98"/>
      <c r="OVV130" s="98"/>
      <c r="OVW130" s="98"/>
      <c r="OVX130" s="98"/>
      <c r="OVY130" s="98"/>
      <c r="OVZ130" s="98"/>
      <c r="OWA130" s="98"/>
      <c r="OWB130" s="98"/>
      <c r="OWC130" s="98"/>
      <c r="OWD130" s="98"/>
      <c r="OWE130" s="98"/>
      <c r="OWF130" s="98"/>
      <c r="OWG130" s="98"/>
      <c r="OWH130" s="98"/>
      <c r="OWI130" s="98"/>
      <c r="OWJ130" s="98"/>
      <c r="OWK130" s="98"/>
      <c r="OWL130" s="98"/>
      <c r="OWM130" s="98"/>
      <c r="OWN130" s="98"/>
      <c r="OWO130" s="98"/>
      <c r="OWP130" s="98"/>
      <c r="OWQ130" s="98"/>
      <c r="OWR130" s="98"/>
      <c r="OWS130" s="98"/>
      <c r="OWT130" s="98"/>
      <c r="OWU130" s="98"/>
      <c r="OWV130" s="98"/>
      <c r="OWW130" s="98"/>
      <c r="OWX130" s="98"/>
      <c r="OWY130" s="98"/>
      <c r="OWZ130" s="98"/>
      <c r="OXA130" s="98"/>
      <c r="OXB130" s="98"/>
      <c r="OXC130" s="98"/>
      <c r="OXD130" s="98"/>
      <c r="OXE130" s="98"/>
      <c r="OXF130" s="98"/>
      <c r="OXG130" s="98"/>
      <c r="OXH130" s="98"/>
      <c r="OXI130" s="98"/>
      <c r="OXJ130" s="98"/>
      <c r="OXK130" s="98"/>
      <c r="OXL130" s="98"/>
      <c r="OXM130" s="98"/>
      <c r="OXN130" s="98"/>
      <c r="OXO130" s="98"/>
      <c r="OXP130" s="98"/>
      <c r="OXQ130" s="98"/>
      <c r="OXR130" s="98"/>
      <c r="OXS130" s="98"/>
      <c r="OXT130" s="98"/>
      <c r="OXU130" s="98"/>
      <c r="OXV130" s="98"/>
      <c r="OXW130" s="98"/>
      <c r="OXX130" s="98"/>
      <c r="OXY130" s="98"/>
      <c r="OXZ130" s="98"/>
      <c r="OYA130" s="98"/>
      <c r="OYB130" s="98"/>
      <c r="OYC130" s="98"/>
      <c r="OYD130" s="98"/>
      <c r="OYE130" s="98"/>
      <c r="OYF130" s="98"/>
      <c r="OYG130" s="98"/>
      <c r="OYH130" s="98"/>
      <c r="OYI130" s="98"/>
      <c r="OYJ130" s="98"/>
      <c r="OYK130" s="98"/>
      <c r="OYL130" s="98"/>
      <c r="OYM130" s="98"/>
      <c r="OYN130" s="98"/>
      <c r="OYO130" s="98"/>
      <c r="OYP130" s="98"/>
      <c r="OYQ130" s="98"/>
      <c r="OYR130" s="98"/>
      <c r="OYS130" s="98"/>
      <c r="OYT130" s="98"/>
      <c r="OYU130" s="98"/>
      <c r="OYV130" s="98"/>
      <c r="OYW130" s="98"/>
      <c r="OYX130" s="98"/>
      <c r="OYY130" s="98"/>
      <c r="OYZ130" s="98"/>
      <c r="OZA130" s="98"/>
      <c r="OZB130" s="98"/>
      <c r="OZC130" s="98"/>
      <c r="OZD130" s="98"/>
      <c r="OZE130" s="98"/>
      <c r="OZF130" s="98"/>
      <c r="OZG130" s="98"/>
      <c r="OZH130" s="98"/>
      <c r="OZI130" s="98"/>
      <c r="OZJ130" s="98"/>
      <c r="OZK130" s="98"/>
      <c r="OZL130" s="98"/>
      <c r="OZM130" s="98"/>
      <c r="OZN130" s="98"/>
      <c r="OZO130" s="98"/>
      <c r="OZP130" s="98"/>
      <c r="OZQ130" s="98"/>
      <c r="OZR130" s="98"/>
      <c r="OZS130" s="98"/>
      <c r="OZT130" s="98"/>
      <c r="OZU130" s="98"/>
      <c r="OZV130" s="98"/>
      <c r="OZW130" s="98"/>
      <c r="OZX130" s="98"/>
      <c r="OZY130" s="98"/>
      <c r="OZZ130" s="98"/>
      <c r="PAA130" s="98"/>
      <c r="PAB130" s="98"/>
      <c r="PAC130" s="98"/>
      <c r="PAD130" s="98"/>
      <c r="PAE130" s="98"/>
      <c r="PAF130" s="98"/>
      <c r="PAG130" s="98"/>
      <c r="PAH130" s="98"/>
      <c r="PAI130" s="98"/>
      <c r="PAJ130" s="98"/>
      <c r="PAK130" s="98"/>
      <c r="PAL130" s="98"/>
      <c r="PAM130" s="98"/>
      <c r="PAN130" s="98"/>
      <c r="PAO130" s="98"/>
      <c r="PAP130" s="98"/>
      <c r="PAQ130" s="98"/>
      <c r="PAR130" s="98"/>
      <c r="PAS130" s="98"/>
      <c r="PAT130" s="98"/>
      <c r="PAU130" s="98"/>
      <c r="PAV130" s="98"/>
      <c r="PAW130" s="98"/>
      <c r="PAX130" s="98"/>
      <c r="PAY130" s="98"/>
      <c r="PAZ130" s="98"/>
      <c r="PBA130" s="98"/>
      <c r="PBB130" s="98"/>
      <c r="PBC130" s="98"/>
      <c r="PBD130" s="98"/>
      <c r="PBE130" s="98"/>
      <c r="PBF130" s="98"/>
      <c r="PBG130" s="98"/>
      <c r="PBH130" s="98"/>
      <c r="PBI130" s="98"/>
      <c r="PBJ130" s="98"/>
      <c r="PBK130" s="98"/>
      <c r="PBL130" s="98"/>
      <c r="PBM130" s="98"/>
      <c r="PBN130" s="98"/>
      <c r="PBO130" s="98"/>
      <c r="PBP130" s="98"/>
      <c r="PBQ130" s="98"/>
      <c r="PBR130" s="98"/>
      <c r="PBS130" s="98"/>
      <c r="PBT130" s="98"/>
      <c r="PBU130" s="98"/>
      <c r="PBV130" s="98"/>
      <c r="PBW130" s="98"/>
      <c r="PBX130" s="98"/>
      <c r="PBY130" s="98"/>
      <c r="PBZ130" s="98"/>
      <c r="PCA130" s="98"/>
      <c r="PCB130" s="98"/>
      <c r="PCC130" s="98"/>
      <c r="PCD130" s="98"/>
      <c r="PCE130" s="98"/>
      <c r="PCF130" s="98"/>
      <c r="PCG130" s="98"/>
      <c r="PCH130" s="98"/>
      <c r="PCI130" s="98"/>
      <c r="PCJ130" s="98"/>
      <c r="PCK130" s="98"/>
      <c r="PCL130" s="98"/>
      <c r="PCM130" s="98"/>
      <c r="PCN130" s="98"/>
      <c r="PCO130" s="98"/>
      <c r="PCP130" s="98"/>
      <c r="PCQ130" s="98"/>
      <c r="PCR130" s="98"/>
      <c r="PCS130" s="98"/>
      <c r="PCT130" s="98"/>
      <c r="PCU130" s="98"/>
      <c r="PCV130" s="98"/>
      <c r="PCW130" s="98"/>
      <c r="PCX130" s="98"/>
      <c r="PCY130" s="98"/>
      <c r="PCZ130" s="98"/>
      <c r="PDA130" s="98"/>
      <c r="PDB130" s="98"/>
      <c r="PDC130" s="98"/>
      <c r="PDD130" s="98"/>
      <c r="PDE130" s="98"/>
      <c r="PDF130" s="98"/>
      <c r="PDG130" s="98"/>
      <c r="PDH130" s="98"/>
      <c r="PDI130" s="98"/>
      <c r="PDJ130" s="98"/>
      <c r="PDK130" s="98"/>
      <c r="PDL130" s="98"/>
      <c r="PDM130" s="98"/>
      <c r="PDN130" s="98"/>
      <c r="PDO130" s="98"/>
      <c r="PDP130" s="98"/>
      <c r="PDQ130" s="98"/>
      <c r="PDR130" s="98"/>
      <c r="PDS130" s="98"/>
      <c r="PDT130" s="98"/>
      <c r="PDU130" s="98"/>
      <c r="PDV130" s="98"/>
      <c r="PDW130" s="98"/>
      <c r="PDX130" s="98"/>
      <c r="PDY130" s="98"/>
      <c r="PDZ130" s="98"/>
      <c r="PEA130" s="98"/>
      <c r="PEB130" s="98"/>
      <c r="PEC130" s="98"/>
      <c r="PED130" s="98"/>
      <c r="PEE130" s="98"/>
      <c r="PEF130" s="98"/>
      <c r="PEG130" s="98"/>
      <c r="PEH130" s="98"/>
      <c r="PEI130" s="98"/>
      <c r="PEJ130" s="98"/>
      <c r="PEK130" s="98"/>
      <c r="PEL130" s="98"/>
      <c r="PEM130" s="98"/>
      <c r="PEN130" s="98"/>
      <c r="PEO130" s="98"/>
      <c r="PEP130" s="98"/>
      <c r="PEQ130" s="98"/>
      <c r="PER130" s="98"/>
      <c r="PES130" s="98"/>
      <c r="PET130" s="98"/>
      <c r="PEU130" s="98"/>
      <c r="PEV130" s="98"/>
      <c r="PEW130" s="98"/>
      <c r="PEX130" s="98"/>
      <c r="PEY130" s="98"/>
      <c r="PEZ130" s="98"/>
      <c r="PFA130" s="98"/>
      <c r="PFB130" s="98"/>
      <c r="PFC130" s="98"/>
      <c r="PFD130" s="98"/>
      <c r="PFE130" s="98"/>
      <c r="PFF130" s="98"/>
      <c r="PFG130" s="98"/>
      <c r="PFH130" s="98"/>
      <c r="PFI130" s="98"/>
      <c r="PFJ130" s="98"/>
      <c r="PFK130" s="98"/>
      <c r="PFL130" s="98"/>
      <c r="PFM130" s="98"/>
      <c r="PFN130" s="98"/>
      <c r="PFO130" s="98"/>
      <c r="PFP130" s="98"/>
      <c r="PFQ130" s="98"/>
      <c r="PFR130" s="98"/>
      <c r="PFS130" s="98"/>
      <c r="PFT130" s="98"/>
      <c r="PFU130" s="98"/>
      <c r="PFV130" s="98"/>
      <c r="PFW130" s="98"/>
      <c r="PFX130" s="98"/>
      <c r="PFY130" s="98"/>
      <c r="PFZ130" s="98"/>
      <c r="PGA130" s="98"/>
      <c r="PGB130" s="98"/>
      <c r="PGC130" s="98"/>
      <c r="PGD130" s="98"/>
      <c r="PGE130" s="98"/>
      <c r="PGF130" s="98"/>
      <c r="PGG130" s="98"/>
      <c r="PGH130" s="98"/>
      <c r="PGI130" s="98"/>
      <c r="PGJ130" s="98"/>
      <c r="PGK130" s="98"/>
      <c r="PGL130" s="98"/>
      <c r="PGM130" s="98"/>
      <c r="PGN130" s="98"/>
      <c r="PGO130" s="98"/>
      <c r="PGP130" s="98"/>
      <c r="PGQ130" s="98"/>
      <c r="PGR130" s="98"/>
      <c r="PGS130" s="98"/>
      <c r="PGT130" s="98"/>
      <c r="PGU130" s="98"/>
      <c r="PGV130" s="98"/>
      <c r="PGW130" s="98"/>
      <c r="PGX130" s="98"/>
      <c r="PGY130" s="98"/>
      <c r="PGZ130" s="98"/>
      <c r="PHA130" s="98"/>
      <c r="PHB130" s="98"/>
      <c r="PHC130" s="98"/>
      <c r="PHD130" s="98"/>
      <c r="PHE130" s="98"/>
      <c r="PHF130" s="98"/>
      <c r="PHG130" s="98"/>
      <c r="PHH130" s="98"/>
      <c r="PHI130" s="98"/>
      <c r="PHJ130" s="98"/>
      <c r="PHK130" s="98"/>
      <c r="PHL130" s="98"/>
      <c r="PHM130" s="98"/>
      <c r="PHN130" s="98"/>
      <c r="PHO130" s="98"/>
      <c r="PHP130" s="98"/>
      <c r="PHQ130" s="98"/>
      <c r="PHR130" s="98"/>
      <c r="PHS130" s="98"/>
      <c r="PHT130" s="98"/>
      <c r="PHU130" s="98"/>
      <c r="PHV130" s="98"/>
      <c r="PHW130" s="98"/>
      <c r="PHX130" s="98"/>
      <c r="PHY130" s="98"/>
      <c r="PHZ130" s="98"/>
      <c r="PIA130" s="98"/>
      <c r="PIB130" s="98"/>
      <c r="PIC130" s="98"/>
      <c r="PID130" s="98"/>
      <c r="PIE130" s="98"/>
      <c r="PIF130" s="98"/>
      <c r="PIG130" s="98"/>
      <c r="PIH130" s="98"/>
      <c r="PII130" s="98"/>
      <c r="PIJ130" s="98"/>
      <c r="PIK130" s="98"/>
      <c r="PIL130" s="98"/>
      <c r="PIM130" s="98"/>
      <c r="PIN130" s="98"/>
      <c r="PIO130" s="98"/>
      <c r="PIP130" s="98"/>
      <c r="PIQ130" s="98"/>
      <c r="PIR130" s="98"/>
      <c r="PIS130" s="98"/>
      <c r="PIT130" s="98"/>
      <c r="PIU130" s="98"/>
      <c r="PIV130" s="98"/>
      <c r="PIW130" s="98"/>
      <c r="PIX130" s="98"/>
      <c r="PIY130" s="98"/>
      <c r="PIZ130" s="98"/>
      <c r="PJA130" s="98"/>
      <c r="PJB130" s="98"/>
      <c r="PJC130" s="98"/>
      <c r="PJD130" s="98"/>
      <c r="PJE130" s="98"/>
      <c r="PJF130" s="98"/>
      <c r="PJG130" s="98"/>
      <c r="PJH130" s="98"/>
      <c r="PJI130" s="98"/>
      <c r="PJJ130" s="98"/>
      <c r="PJK130" s="98"/>
      <c r="PJL130" s="98"/>
      <c r="PJM130" s="98"/>
      <c r="PJN130" s="98"/>
      <c r="PJO130" s="98"/>
      <c r="PJP130" s="98"/>
      <c r="PJQ130" s="98"/>
      <c r="PJR130" s="98"/>
      <c r="PJS130" s="98"/>
      <c r="PJT130" s="98"/>
      <c r="PJU130" s="98"/>
      <c r="PJV130" s="98"/>
      <c r="PJW130" s="98"/>
      <c r="PJX130" s="98"/>
      <c r="PJY130" s="98"/>
      <c r="PJZ130" s="98"/>
      <c r="PKA130" s="98"/>
      <c r="PKB130" s="98"/>
      <c r="PKC130" s="98"/>
      <c r="PKD130" s="98"/>
      <c r="PKE130" s="98"/>
      <c r="PKF130" s="98"/>
      <c r="PKG130" s="98"/>
      <c r="PKH130" s="98"/>
      <c r="PKI130" s="98"/>
      <c r="PKJ130" s="98"/>
      <c r="PKK130" s="98"/>
      <c r="PKL130" s="98"/>
      <c r="PKM130" s="98"/>
      <c r="PKN130" s="98"/>
      <c r="PKO130" s="98"/>
      <c r="PKP130" s="98"/>
      <c r="PKQ130" s="98"/>
      <c r="PKR130" s="98"/>
      <c r="PKS130" s="98"/>
      <c r="PKT130" s="98"/>
      <c r="PKU130" s="98"/>
      <c r="PKV130" s="98"/>
      <c r="PKW130" s="98"/>
      <c r="PKX130" s="98"/>
      <c r="PKY130" s="98"/>
      <c r="PKZ130" s="98"/>
      <c r="PLA130" s="98"/>
      <c r="PLB130" s="98"/>
      <c r="PLC130" s="98"/>
      <c r="PLD130" s="98"/>
      <c r="PLE130" s="98"/>
      <c r="PLF130" s="98"/>
      <c r="PLG130" s="98"/>
      <c r="PLH130" s="98"/>
      <c r="PLI130" s="98"/>
      <c r="PLJ130" s="98"/>
      <c r="PLK130" s="98"/>
      <c r="PLL130" s="98"/>
      <c r="PLM130" s="98"/>
      <c r="PLN130" s="98"/>
      <c r="PLO130" s="98"/>
      <c r="PLP130" s="98"/>
      <c r="PLQ130" s="98"/>
      <c r="PLR130" s="98"/>
      <c r="PLS130" s="98"/>
      <c r="PLT130" s="98"/>
      <c r="PLU130" s="98"/>
      <c r="PLV130" s="98"/>
      <c r="PLW130" s="98"/>
      <c r="PLX130" s="98"/>
      <c r="PLY130" s="98"/>
      <c r="PLZ130" s="98"/>
      <c r="PMA130" s="98"/>
      <c r="PMB130" s="98"/>
      <c r="PMC130" s="98"/>
      <c r="PMD130" s="98"/>
      <c r="PME130" s="98"/>
      <c r="PMF130" s="98"/>
      <c r="PMG130" s="98"/>
      <c r="PMH130" s="98"/>
      <c r="PMI130" s="98"/>
      <c r="PMJ130" s="98"/>
      <c r="PMK130" s="98"/>
      <c r="PML130" s="98"/>
      <c r="PMM130" s="98"/>
      <c r="PMN130" s="98"/>
      <c r="PMO130" s="98"/>
      <c r="PMP130" s="98"/>
      <c r="PMQ130" s="98"/>
      <c r="PMR130" s="98"/>
      <c r="PMS130" s="98"/>
      <c r="PMT130" s="98"/>
      <c r="PMU130" s="98"/>
      <c r="PMV130" s="98"/>
      <c r="PMW130" s="98"/>
      <c r="PMX130" s="98"/>
      <c r="PMY130" s="98"/>
      <c r="PMZ130" s="98"/>
      <c r="PNA130" s="98"/>
      <c r="PNB130" s="98"/>
      <c r="PNC130" s="98"/>
      <c r="PND130" s="98"/>
      <c r="PNE130" s="98"/>
      <c r="PNF130" s="98"/>
      <c r="PNG130" s="98"/>
      <c r="PNH130" s="98"/>
      <c r="PNI130" s="98"/>
      <c r="PNJ130" s="98"/>
      <c r="PNK130" s="98"/>
      <c r="PNL130" s="98"/>
      <c r="PNM130" s="98"/>
      <c r="PNN130" s="98"/>
      <c r="PNO130" s="98"/>
      <c r="PNP130" s="98"/>
      <c r="PNQ130" s="98"/>
      <c r="PNR130" s="98"/>
      <c r="PNS130" s="98"/>
      <c r="PNT130" s="98"/>
      <c r="PNU130" s="98"/>
      <c r="PNV130" s="98"/>
      <c r="PNW130" s="98"/>
      <c r="PNX130" s="98"/>
      <c r="PNY130" s="98"/>
      <c r="PNZ130" s="98"/>
      <c r="POA130" s="98"/>
      <c r="POB130" s="98"/>
      <c r="POC130" s="98"/>
      <c r="POD130" s="98"/>
      <c r="POE130" s="98"/>
      <c r="POF130" s="98"/>
      <c r="POG130" s="98"/>
      <c r="POH130" s="98"/>
      <c r="POI130" s="98"/>
      <c r="POJ130" s="98"/>
      <c r="POK130" s="98"/>
      <c r="POL130" s="98"/>
      <c r="POM130" s="98"/>
      <c r="PON130" s="98"/>
      <c r="POO130" s="98"/>
      <c r="POP130" s="98"/>
      <c r="POQ130" s="98"/>
      <c r="POR130" s="98"/>
      <c r="POS130" s="98"/>
      <c r="POT130" s="98"/>
      <c r="POU130" s="98"/>
      <c r="POV130" s="98"/>
      <c r="POW130" s="98"/>
      <c r="POX130" s="98"/>
      <c r="POY130" s="98"/>
      <c r="POZ130" s="98"/>
      <c r="PPA130" s="98"/>
      <c r="PPB130" s="98"/>
      <c r="PPC130" s="98"/>
      <c r="PPD130" s="98"/>
      <c r="PPE130" s="98"/>
      <c r="PPF130" s="98"/>
      <c r="PPG130" s="98"/>
      <c r="PPH130" s="98"/>
      <c r="PPI130" s="98"/>
      <c r="PPJ130" s="98"/>
      <c r="PPK130" s="98"/>
      <c r="PPL130" s="98"/>
      <c r="PPM130" s="98"/>
      <c r="PPN130" s="98"/>
      <c r="PPO130" s="98"/>
      <c r="PPP130" s="98"/>
      <c r="PPQ130" s="98"/>
      <c r="PPR130" s="98"/>
      <c r="PPS130" s="98"/>
      <c r="PPT130" s="98"/>
      <c r="PPU130" s="98"/>
      <c r="PPV130" s="98"/>
      <c r="PPW130" s="98"/>
      <c r="PPX130" s="98"/>
      <c r="PPY130" s="98"/>
      <c r="PPZ130" s="98"/>
      <c r="PQA130" s="98"/>
      <c r="PQB130" s="98"/>
      <c r="PQC130" s="98"/>
      <c r="PQD130" s="98"/>
      <c r="PQE130" s="98"/>
      <c r="PQF130" s="98"/>
      <c r="PQG130" s="98"/>
      <c r="PQH130" s="98"/>
      <c r="PQI130" s="98"/>
      <c r="PQJ130" s="98"/>
      <c r="PQK130" s="98"/>
      <c r="PQL130" s="98"/>
      <c r="PQM130" s="98"/>
      <c r="PQN130" s="98"/>
      <c r="PQO130" s="98"/>
      <c r="PQP130" s="98"/>
      <c r="PQQ130" s="98"/>
      <c r="PQR130" s="98"/>
      <c r="PQS130" s="98"/>
      <c r="PQT130" s="98"/>
      <c r="PQU130" s="98"/>
      <c r="PQV130" s="98"/>
      <c r="PQW130" s="98"/>
      <c r="PQX130" s="98"/>
      <c r="PQY130" s="98"/>
      <c r="PQZ130" s="98"/>
      <c r="PRA130" s="98"/>
      <c r="PRB130" s="98"/>
      <c r="PRC130" s="98"/>
      <c r="PRD130" s="98"/>
      <c r="PRE130" s="98"/>
      <c r="PRF130" s="98"/>
      <c r="PRG130" s="98"/>
      <c r="PRH130" s="98"/>
      <c r="PRI130" s="98"/>
      <c r="PRJ130" s="98"/>
      <c r="PRK130" s="98"/>
      <c r="PRL130" s="98"/>
      <c r="PRM130" s="98"/>
      <c r="PRN130" s="98"/>
      <c r="PRO130" s="98"/>
      <c r="PRP130" s="98"/>
      <c r="PRQ130" s="98"/>
      <c r="PRR130" s="98"/>
      <c r="PRS130" s="98"/>
      <c r="PRT130" s="98"/>
      <c r="PRU130" s="98"/>
      <c r="PRV130" s="98"/>
      <c r="PRW130" s="98"/>
      <c r="PRX130" s="98"/>
      <c r="PRY130" s="98"/>
      <c r="PRZ130" s="98"/>
      <c r="PSA130" s="98"/>
      <c r="PSB130" s="98"/>
      <c r="PSC130" s="98"/>
      <c r="PSD130" s="98"/>
      <c r="PSE130" s="98"/>
      <c r="PSF130" s="98"/>
      <c r="PSG130" s="98"/>
      <c r="PSH130" s="98"/>
      <c r="PSI130" s="98"/>
      <c r="PSJ130" s="98"/>
      <c r="PSK130" s="98"/>
      <c r="PSL130" s="98"/>
      <c r="PSM130" s="98"/>
      <c r="PSN130" s="98"/>
      <c r="PSO130" s="98"/>
      <c r="PSP130" s="98"/>
      <c r="PSQ130" s="98"/>
      <c r="PSR130" s="98"/>
      <c r="PSS130" s="98"/>
      <c r="PST130" s="98"/>
      <c r="PSU130" s="98"/>
      <c r="PSV130" s="98"/>
      <c r="PSW130" s="98"/>
      <c r="PSX130" s="98"/>
      <c r="PSY130" s="98"/>
      <c r="PSZ130" s="98"/>
      <c r="PTA130" s="98"/>
      <c r="PTB130" s="98"/>
      <c r="PTC130" s="98"/>
      <c r="PTD130" s="98"/>
      <c r="PTE130" s="98"/>
      <c r="PTF130" s="98"/>
      <c r="PTG130" s="98"/>
      <c r="PTH130" s="98"/>
      <c r="PTI130" s="98"/>
      <c r="PTJ130" s="98"/>
      <c r="PTK130" s="98"/>
      <c r="PTL130" s="98"/>
      <c r="PTM130" s="98"/>
      <c r="PTN130" s="98"/>
      <c r="PTO130" s="98"/>
      <c r="PTP130" s="98"/>
      <c r="PTQ130" s="98"/>
      <c r="PTR130" s="98"/>
      <c r="PTS130" s="98"/>
      <c r="PTT130" s="98"/>
      <c r="PTU130" s="98"/>
      <c r="PTV130" s="98"/>
      <c r="PTW130" s="98"/>
      <c r="PTX130" s="98"/>
      <c r="PTY130" s="98"/>
      <c r="PTZ130" s="98"/>
      <c r="PUA130" s="98"/>
      <c r="PUB130" s="98"/>
      <c r="PUC130" s="98"/>
      <c r="PUD130" s="98"/>
      <c r="PUE130" s="98"/>
      <c r="PUF130" s="98"/>
      <c r="PUG130" s="98"/>
      <c r="PUH130" s="98"/>
      <c r="PUI130" s="98"/>
      <c r="PUJ130" s="98"/>
      <c r="PUK130" s="98"/>
      <c r="PUL130" s="98"/>
      <c r="PUM130" s="98"/>
      <c r="PUN130" s="98"/>
      <c r="PUO130" s="98"/>
      <c r="PUP130" s="98"/>
      <c r="PUQ130" s="98"/>
      <c r="PUR130" s="98"/>
      <c r="PUS130" s="98"/>
      <c r="PUT130" s="98"/>
      <c r="PUU130" s="98"/>
      <c r="PUV130" s="98"/>
      <c r="PUW130" s="98"/>
      <c r="PUX130" s="98"/>
      <c r="PUY130" s="98"/>
      <c r="PUZ130" s="98"/>
      <c r="PVA130" s="98"/>
      <c r="PVB130" s="98"/>
      <c r="PVC130" s="98"/>
      <c r="PVD130" s="98"/>
      <c r="PVE130" s="98"/>
      <c r="PVF130" s="98"/>
      <c r="PVG130" s="98"/>
      <c r="PVH130" s="98"/>
      <c r="PVI130" s="98"/>
      <c r="PVJ130" s="98"/>
      <c r="PVK130" s="98"/>
      <c r="PVL130" s="98"/>
      <c r="PVM130" s="98"/>
      <c r="PVN130" s="98"/>
      <c r="PVO130" s="98"/>
      <c r="PVP130" s="98"/>
      <c r="PVQ130" s="98"/>
      <c r="PVR130" s="98"/>
      <c r="PVS130" s="98"/>
      <c r="PVT130" s="98"/>
      <c r="PVU130" s="98"/>
      <c r="PVV130" s="98"/>
      <c r="PVW130" s="98"/>
      <c r="PVX130" s="98"/>
      <c r="PVY130" s="98"/>
      <c r="PVZ130" s="98"/>
      <c r="PWA130" s="98"/>
      <c r="PWB130" s="98"/>
      <c r="PWC130" s="98"/>
      <c r="PWD130" s="98"/>
      <c r="PWE130" s="98"/>
      <c r="PWF130" s="98"/>
      <c r="PWG130" s="98"/>
      <c r="PWH130" s="98"/>
      <c r="PWI130" s="98"/>
      <c r="PWJ130" s="98"/>
      <c r="PWK130" s="98"/>
      <c r="PWL130" s="98"/>
      <c r="PWM130" s="98"/>
      <c r="PWN130" s="98"/>
      <c r="PWO130" s="98"/>
      <c r="PWP130" s="98"/>
      <c r="PWQ130" s="98"/>
      <c r="PWR130" s="98"/>
      <c r="PWS130" s="98"/>
      <c r="PWT130" s="98"/>
      <c r="PWU130" s="98"/>
      <c r="PWV130" s="98"/>
      <c r="PWW130" s="98"/>
      <c r="PWX130" s="98"/>
      <c r="PWY130" s="98"/>
      <c r="PWZ130" s="98"/>
      <c r="PXA130" s="98"/>
      <c r="PXB130" s="98"/>
      <c r="PXC130" s="98"/>
      <c r="PXD130" s="98"/>
      <c r="PXE130" s="98"/>
      <c r="PXF130" s="98"/>
      <c r="PXG130" s="98"/>
      <c r="PXH130" s="98"/>
      <c r="PXI130" s="98"/>
      <c r="PXJ130" s="98"/>
      <c r="PXK130" s="98"/>
      <c r="PXL130" s="98"/>
      <c r="PXM130" s="98"/>
      <c r="PXN130" s="98"/>
      <c r="PXO130" s="98"/>
      <c r="PXP130" s="98"/>
      <c r="PXQ130" s="98"/>
      <c r="PXR130" s="98"/>
      <c r="PXS130" s="98"/>
      <c r="PXT130" s="98"/>
      <c r="PXU130" s="98"/>
      <c r="PXV130" s="98"/>
      <c r="PXW130" s="98"/>
      <c r="PXX130" s="98"/>
      <c r="PXY130" s="98"/>
      <c r="PXZ130" s="98"/>
      <c r="PYA130" s="98"/>
      <c r="PYB130" s="98"/>
      <c r="PYC130" s="98"/>
      <c r="PYD130" s="98"/>
      <c r="PYE130" s="98"/>
      <c r="PYF130" s="98"/>
      <c r="PYG130" s="98"/>
      <c r="PYH130" s="98"/>
      <c r="PYI130" s="98"/>
      <c r="PYJ130" s="98"/>
      <c r="PYK130" s="98"/>
      <c r="PYL130" s="98"/>
      <c r="PYM130" s="98"/>
      <c r="PYN130" s="98"/>
      <c r="PYO130" s="98"/>
      <c r="PYP130" s="98"/>
      <c r="PYQ130" s="98"/>
      <c r="PYR130" s="98"/>
      <c r="PYS130" s="98"/>
      <c r="PYT130" s="98"/>
      <c r="PYU130" s="98"/>
      <c r="PYV130" s="98"/>
      <c r="PYW130" s="98"/>
      <c r="PYX130" s="98"/>
      <c r="PYY130" s="98"/>
      <c r="PYZ130" s="98"/>
      <c r="PZA130" s="98"/>
      <c r="PZB130" s="98"/>
      <c r="PZC130" s="98"/>
      <c r="PZD130" s="98"/>
      <c r="PZE130" s="98"/>
      <c r="PZF130" s="98"/>
      <c r="PZG130" s="98"/>
      <c r="PZH130" s="98"/>
      <c r="PZI130" s="98"/>
      <c r="PZJ130" s="98"/>
      <c r="PZK130" s="98"/>
      <c r="PZL130" s="98"/>
      <c r="PZM130" s="98"/>
      <c r="PZN130" s="98"/>
      <c r="PZO130" s="98"/>
      <c r="PZP130" s="98"/>
      <c r="PZQ130" s="98"/>
      <c r="PZR130" s="98"/>
      <c r="PZS130" s="98"/>
      <c r="PZT130" s="98"/>
      <c r="PZU130" s="98"/>
      <c r="PZV130" s="98"/>
      <c r="PZW130" s="98"/>
      <c r="PZX130" s="98"/>
      <c r="PZY130" s="98"/>
      <c r="PZZ130" s="98"/>
      <c r="QAA130" s="98"/>
      <c r="QAB130" s="98"/>
      <c r="QAC130" s="98"/>
      <c r="QAD130" s="98"/>
      <c r="QAE130" s="98"/>
      <c r="QAF130" s="98"/>
      <c r="QAG130" s="98"/>
      <c r="QAH130" s="98"/>
      <c r="QAI130" s="98"/>
      <c r="QAJ130" s="98"/>
      <c r="QAK130" s="98"/>
      <c r="QAL130" s="98"/>
      <c r="QAM130" s="98"/>
      <c r="QAN130" s="98"/>
      <c r="QAO130" s="98"/>
      <c r="QAP130" s="98"/>
      <c r="QAQ130" s="98"/>
      <c r="QAR130" s="98"/>
      <c r="QAS130" s="98"/>
      <c r="QAT130" s="98"/>
      <c r="QAU130" s="98"/>
      <c r="QAV130" s="98"/>
      <c r="QAW130" s="98"/>
      <c r="QAX130" s="98"/>
      <c r="QAY130" s="98"/>
      <c r="QAZ130" s="98"/>
      <c r="QBA130" s="98"/>
      <c r="QBB130" s="98"/>
      <c r="QBC130" s="98"/>
      <c r="QBD130" s="98"/>
      <c r="QBE130" s="98"/>
      <c r="QBF130" s="98"/>
      <c r="QBG130" s="98"/>
      <c r="QBH130" s="98"/>
      <c r="QBI130" s="98"/>
      <c r="QBJ130" s="98"/>
      <c r="QBK130" s="98"/>
      <c r="QBL130" s="98"/>
      <c r="QBM130" s="98"/>
      <c r="QBN130" s="98"/>
      <c r="QBO130" s="98"/>
      <c r="QBP130" s="98"/>
      <c r="QBQ130" s="98"/>
      <c r="QBR130" s="98"/>
      <c r="QBS130" s="98"/>
      <c r="QBT130" s="98"/>
      <c r="QBU130" s="98"/>
      <c r="QBV130" s="98"/>
      <c r="QBW130" s="98"/>
      <c r="QBX130" s="98"/>
      <c r="QBY130" s="98"/>
      <c r="QBZ130" s="98"/>
      <c r="QCA130" s="98"/>
      <c r="QCB130" s="98"/>
      <c r="QCC130" s="98"/>
      <c r="QCD130" s="98"/>
      <c r="QCE130" s="98"/>
      <c r="QCF130" s="98"/>
      <c r="QCG130" s="98"/>
      <c r="QCH130" s="98"/>
      <c r="QCI130" s="98"/>
      <c r="QCJ130" s="98"/>
      <c r="QCK130" s="98"/>
      <c r="QCL130" s="98"/>
      <c r="QCM130" s="98"/>
      <c r="QCN130" s="98"/>
      <c r="QCO130" s="98"/>
      <c r="QCP130" s="98"/>
      <c r="QCQ130" s="98"/>
      <c r="QCR130" s="98"/>
      <c r="QCS130" s="98"/>
      <c r="QCT130" s="98"/>
      <c r="QCU130" s="98"/>
      <c r="QCV130" s="98"/>
      <c r="QCW130" s="98"/>
      <c r="QCX130" s="98"/>
      <c r="QCY130" s="98"/>
      <c r="QCZ130" s="98"/>
      <c r="QDA130" s="98"/>
      <c r="QDB130" s="98"/>
      <c r="QDC130" s="98"/>
      <c r="QDD130" s="98"/>
      <c r="QDE130" s="98"/>
      <c r="QDF130" s="98"/>
      <c r="QDG130" s="98"/>
      <c r="QDH130" s="98"/>
      <c r="QDI130" s="98"/>
      <c r="QDJ130" s="98"/>
      <c r="QDK130" s="98"/>
      <c r="QDL130" s="98"/>
      <c r="QDM130" s="98"/>
      <c r="QDN130" s="98"/>
      <c r="QDO130" s="98"/>
      <c r="QDP130" s="98"/>
      <c r="QDQ130" s="98"/>
      <c r="QDR130" s="98"/>
      <c r="QDS130" s="98"/>
      <c r="QDT130" s="98"/>
      <c r="QDU130" s="98"/>
      <c r="QDV130" s="98"/>
      <c r="QDW130" s="98"/>
      <c r="QDX130" s="98"/>
      <c r="QDY130" s="98"/>
      <c r="QDZ130" s="98"/>
      <c r="QEA130" s="98"/>
      <c r="QEB130" s="98"/>
      <c r="QEC130" s="98"/>
      <c r="QED130" s="98"/>
      <c r="QEE130" s="98"/>
      <c r="QEF130" s="98"/>
      <c r="QEG130" s="98"/>
      <c r="QEH130" s="98"/>
      <c r="QEI130" s="98"/>
      <c r="QEJ130" s="98"/>
      <c r="QEK130" s="98"/>
      <c r="QEL130" s="98"/>
      <c r="QEM130" s="98"/>
      <c r="QEN130" s="98"/>
      <c r="QEO130" s="98"/>
      <c r="QEP130" s="98"/>
      <c r="QEQ130" s="98"/>
      <c r="QER130" s="98"/>
      <c r="QES130" s="98"/>
      <c r="QET130" s="98"/>
      <c r="QEU130" s="98"/>
      <c r="QEV130" s="98"/>
      <c r="QEW130" s="98"/>
      <c r="QEX130" s="98"/>
      <c r="QEY130" s="98"/>
      <c r="QEZ130" s="98"/>
      <c r="QFA130" s="98"/>
      <c r="QFB130" s="98"/>
      <c r="QFC130" s="98"/>
      <c r="QFD130" s="98"/>
      <c r="QFE130" s="98"/>
      <c r="QFF130" s="98"/>
      <c r="QFG130" s="98"/>
      <c r="QFH130" s="98"/>
      <c r="QFI130" s="98"/>
      <c r="QFJ130" s="98"/>
      <c r="QFK130" s="98"/>
      <c r="QFL130" s="98"/>
      <c r="QFM130" s="98"/>
      <c r="QFN130" s="98"/>
      <c r="QFO130" s="98"/>
      <c r="QFP130" s="98"/>
      <c r="QFQ130" s="98"/>
      <c r="QFR130" s="98"/>
      <c r="QFS130" s="98"/>
      <c r="QFT130" s="98"/>
      <c r="QFU130" s="98"/>
      <c r="QFV130" s="98"/>
      <c r="QFW130" s="98"/>
      <c r="QFX130" s="98"/>
      <c r="QFY130" s="98"/>
      <c r="QFZ130" s="98"/>
      <c r="QGA130" s="98"/>
      <c r="QGB130" s="98"/>
      <c r="QGC130" s="98"/>
      <c r="QGD130" s="98"/>
      <c r="QGE130" s="98"/>
      <c r="QGF130" s="98"/>
      <c r="QGG130" s="98"/>
      <c r="QGH130" s="98"/>
      <c r="QGI130" s="98"/>
      <c r="QGJ130" s="98"/>
      <c r="QGK130" s="98"/>
      <c r="QGL130" s="98"/>
      <c r="QGM130" s="98"/>
      <c r="QGN130" s="98"/>
      <c r="QGO130" s="98"/>
      <c r="QGP130" s="98"/>
      <c r="QGQ130" s="98"/>
      <c r="QGR130" s="98"/>
      <c r="QGS130" s="98"/>
      <c r="QGT130" s="98"/>
      <c r="QGU130" s="98"/>
      <c r="QGV130" s="98"/>
      <c r="QGW130" s="98"/>
      <c r="QGX130" s="98"/>
      <c r="QGY130" s="98"/>
      <c r="QGZ130" s="98"/>
      <c r="QHA130" s="98"/>
      <c r="QHB130" s="98"/>
      <c r="QHC130" s="98"/>
      <c r="QHD130" s="98"/>
      <c r="QHE130" s="98"/>
      <c r="QHF130" s="98"/>
      <c r="QHG130" s="98"/>
      <c r="QHH130" s="98"/>
      <c r="QHI130" s="98"/>
      <c r="QHJ130" s="98"/>
      <c r="QHK130" s="98"/>
      <c r="QHL130" s="98"/>
      <c r="QHM130" s="98"/>
      <c r="QHN130" s="98"/>
      <c r="QHO130" s="98"/>
      <c r="QHP130" s="98"/>
      <c r="QHQ130" s="98"/>
      <c r="QHR130" s="98"/>
      <c r="QHS130" s="98"/>
      <c r="QHT130" s="98"/>
      <c r="QHU130" s="98"/>
      <c r="QHV130" s="98"/>
      <c r="QHW130" s="98"/>
      <c r="QHX130" s="98"/>
      <c r="QHY130" s="98"/>
      <c r="QHZ130" s="98"/>
      <c r="QIA130" s="98"/>
      <c r="QIB130" s="98"/>
      <c r="QIC130" s="98"/>
      <c r="QID130" s="98"/>
      <c r="QIE130" s="98"/>
      <c r="QIF130" s="98"/>
      <c r="QIG130" s="98"/>
      <c r="QIH130" s="98"/>
      <c r="QII130" s="98"/>
      <c r="QIJ130" s="98"/>
      <c r="QIK130" s="98"/>
      <c r="QIL130" s="98"/>
      <c r="QIM130" s="98"/>
      <c r="QIN130" s="98"/>
      <c r="QIO130" s="98"/>
      <c r="QIP130" s="98"/>
      <c r="QIQ130" s="98"/>
      <c r="QIR130" s="98"/>
      <c r="QIS130" s="98"/>
      <c r="QIT130" s="98"/>
      <c r="QIU130" s="98"/>
      <c r="QIV130" s="98"/>
      <c r="QIW130" s="98"/>
      <c r="QIX130" s="98"/>
      <c r="QIY130" s="98"/>
      <c r="QIZ130" s="98"/>
      <c r="QJA130" s="98"/>
      <c r="QJB130" s="98"/>
      <c r="QJC130" s="98"/>
      <c r="QJD130" s="98"/>
      <c r="QJE130" s="98"/>
      <c r="QJF130" s="98"/>
      <c r="QJG130" s="98"/>
      <c r="QJH130" s="98"/>
      <c r="QJI130" s="98"/>
      <c r="QJJ130" s="98"/>
      <c r="QJK130" s="98"/>
      <c r="QJL130" s="98"/>
      <c r="QJM130" s="98"/>
      <c r="QJN130" s="98"/>
      <c r="QJO130" s="98"/>
      <c r="QJP130" s="98"/>
      <c r="QJQ130" s="98"/>
      <c r="QJR130" s="98"/>
      <c r="QJS130" s="98"/>
      <c r="QJT130" s="98"/>
      <c r="QJU130" s="98"/>
      <c r="QJV130" s="98"/>
      <c r="QJW130" s="98"/>
      <c r="QJX130" s="98"/>
      <c r="QJY130" s="98"/>
      <c r="QJZ130" s="98"/>
      <c r="QKA130" s="98"/>
      <c r="QKB130" s="98"/>
      <c r="QKC130" s="98"/>
      <c r="QKD130" s="98"/>
      <c r="QKE130" s="98"/>
      <c r="QKF130" s="98"/>
      <c r="QKG130" s="98"/>
      <c r="QKH130" s="98"/>
      <c r="QKI130" s="98"/>
      <c r="QKJ130" s="98"/>
      <c r="QKK130" s="98"/>
      <c r="QKL130" s="98"/>
      <c r="QKM130" s="98"/>
      <c r="QKN130" s="98"/>
      <c r="QKO130" s="98"/>
      <c r="QKP130" s="98"/>
      <c r="QKQ130" s="98"/>
      <c r="QKR130" s="98"/>
      <c r="QKS130" s="98"/>
      <c r="QKT130" s="98"/>
      <c r="QKU130" s="98"/>
      <c r="QKV130" s="98"/>
      <c r="QKW130" s="98"/>
      <c r="QKX130" s="98"/>
      <c r="QKY130" s="98"/>
      <c r="QKZ130" s="98"/>
      <c r="QLA130" s="98"/>
      <c r="QLB130" s="98"/>
      <c r="QLC130" s="98"/>
      <c r="QLD130" s="98"/>
      <c r="QLE130" s="98"/>
      <c r="QLF130" s="98"/>
      <c r="QLG130" s="98"/>
      <c r="QLH130" s="98"/>
      <c r="QLI130" s="98"/>
      <c r="QLJ130" s="98"/>
      <c r="QLK130" s="98"/>
      <c r="QLL130" s="98"/>
      <c r="QLM130" s="98"/>
      <c r="QLN130" s="98"/>
      <c r="QLO130" s="98"/>
      <c r="QLP130" s="98"/>
      <c r="QLQ130" s="98"/>
      <c r="QLR130" s="98"/>
      <c r="QLS130" s="98"/>
      <c r="QLT130" s="98"/>
      <c r="QLU130" s="98"/>
      <c r="QLV130" s="98"/>
      <c r="QLW130" s="98"/>
      <c r="QLX130" s="98"/>
      <c r="QLY130" s="98"/>
      <c r="QLZ130" s="98"/>
      <c r="QMA130" s="98"/>
      <c r="QMB130" s="98"/>
      <c r="QMC130" s="98"/>
      <c r="QMD130" s="98"/>
      <c r="QME130" s="98"/>
      <c r="QMF130" s="98"/>
      <c r="QMG130" s="98"/>
      <c r="QMH130" s="98"/>
      <c r="QMI130" s="98"/>
      <c r="QMJ130" s="98"/>
      <c r="QMK130" s="98"/>
      <c r="QML130" s="98"/>
      <c r="QMM130" s="98"/>
      <c r="QMN130" s="98"/>
      <c r="QMO130" s="98"/>
      <c r="QMP130" s="98"/>
      <c r="QMQ130" s="98"/>
      <c r="QMR130" s="98"/>
      <c r="QMS130" s="98"/>
      <c r="QMT130" s="98"/>
      <c r="QMU130" s="98"/>
      <c r="QMV130" s="98"/>
      <c r="QMW130" s="98"/>
      <c r="QMX130" s="98"/>
      <c r="QMY130" s="98"/>
      <c r="QMZ130" s="98"/>
      <c r="QNA130" s="98"/>
      <c r="QNB130" s="98"/>
      <c r="QNC130" s="98"/>
      <c r="QND130" s="98"/>
      <c r="QNE130" s="98"/>
      <c r="QNF130" s="98"/>
      <c r="QNG130" s="98"/>
      <c r="QNH130" s="98"/>
      <c r="QNI130" s="98"/>
      <c r="QNJ130" s="98"/>
      <c r="QNK130" s="98"/>
      <c r="QNL130" s="98"/>
      <c r="QNM130" s="98"/>
      <c r="QNN130" s="98"/>
      <c r="QNO130" s="98"/>
      <c r="QNP130" s="98"/>
      <c r="QNQ130" s="98"/>
      <c r="QNR130" s="98"/>
      <c r="QNS130" s="98"/>
      <c r="QNT130" s="98"/>
      <c r="QNU130" s="98"/>
      <c r="QNV130" s="98"/>
      <c r="QNW130" s="98"/>
      <c r="QNX130" s="98"/>
      <c r="QNY130" s="98"/>
      <c r="QNZ130" s="98"/>
      <c r="QOA130" s="98"/>
      <c r="QOB130" s="98"/>
      <c r="QOC130" s="98"/>
      <c r="QOD130" s="98"/>
      <c r="QOE130" s="98"/>
      <c r="QOF130" s="98"/>
      <c r="QOG130" s="98"/>
      <c r="QOH130" s="98"/>
      <c r="QOI130" s="98"/>
      <c r="QOJ130" s="98"/>
      <c r="QOK130" s="98"/>
      <c r="QOL130" s="98"/>
      <c r="QOM130" s="98"/>
      <c r="QON130" s="98"/>
      <c r="QOO130" s="98"/>
      <c r="QOP130" s="98"/>
      <c r="QOQ130" s="98"/>
      <c r="QOR130" s="98"/>
      <c r="QOS130" s="98"/>
      <c r="QOT130" s="98"/>
      <c r="QOU130" s="98"/>
      <c r="QOV130" s="98"/>
      <c r="QOW130" s="98"/>
      <c r="QOX130" s="98"/>
      <c r="QOY130" s="98"/>
      <c r="QOZ130" s="98"/>
      <c r="QPA130" s="98"/>
      <c r="QPB130" s="98"/>
      <c r="QPC130" s="98"/>
      <c r="QPD130" s="98"/>
      <c r="QPE130" s="98"/>
      <c r="QPF130" s="98"/>
      <c r="QPG130" s="98"/>
      <c r="QPH130" s="98"/>
      <c r="QPI130" s="98"/>
      <c r="QPJ130" s="98"/>
      <c r="QPK130" s="98"/>
      <c r="QPL130" s="98"/>
      <c r="QPM130" s="98"/>
      <c r="QPN130" s="98"/>
      <c r="QPO130" s="98"/>
      <c r="QPP130" s="98"/>
      <c r="QPQ130" s="98"/>
      <c r="QPR130" s="98"/>
      <c r="QPS130" s="98"/>
      <c r="QPT130" s="98"/>
      <c r="QPU130" s="98"/>
      <c r="QPV130" s="98"/>
      <c r="QPW130" s="98"/>
      <c r="QPX130" s="98"/>
      <c r="QPY130" s="98"/>
      <c r="QPZ130" s="98"/>
      <c r="QQA130" s="98"/>
      <c r="QQB130" s="98"/>
      <c r="QQC130" s="98"/>
      <c r="QQD130" s="98"/>
      <c r="QQE130" s="98"/>
      <c r="QQF130" s="98"/>
      <c r="QQG130" s="98"/>
      <c r="QQH130" s="98"/>
      <c r="QQI130" s="98"/>
      <c r="QQJ130" s="98"/>
      <c r="QQK130" s="98"/>
      <c r="QQL130" s="98"/>
      <c r="QQM130" s="98"/>
      <c r="QQN130" s="98"/>
      <c r="QQO130" s="98"/>
      <c r="QQP130" s="98"/>
      <c r="QQQ130" s="98"/>
      <c r="QQR130" s="98"/>
      <c r="QQS130" s="98"/>
      <c r="QQT130" s="98"/>
      <c r="QQU130" s="98"/>
      <c r="QQV130" s="98"/>
      <c r="QQW130" s="98"/>
      <c r="QQX130" s="98"/>
      <c r="QQY130" s="98"/>
      <c r="QQZ130" s="98"/>
      <c r="QRA130" s="98"/>
      <c r="QRB130" s="98"/>
      <c r="QRC130" s="98"/>
      <c r="QRD130" s="98"/>
      <c r="QRE130" s="98"/>
      <c r="QRF130" s="98"/>
      <c r="QRG130" s="98"/>
      <c r="QRH130" s="98"/>
      <c r="QRI130" s="98"/>
      <c r="QRJ130" s="98"/>
      <c r="QRK130" s="98"/>
      <c r="QRL130" s="98"/>
      <c r="QRM130" s="98"/>
      <c r="QRN130" s="98"/>
      <c r="QRO130" s="98"/>
      <c r="QRP130" s="98"/>
      <c r="QRQ130" s="98"/>
      <c r="QRR130" s="98"/>
      <c r="QRS130" s="98"/>
      <c r="QRT130" s="98"/>
      <c r="QRU130" s="98"/>
      <c r="QRV130" s="98"/>
      <c r="QRW130" s="98"/>
      <c r="QRX130" s="98"/>
      <c r="QRY130" s="98"/>
      <c r="QRZ130" s="98"/>
      <c r="QSA130" s="98"/>
      <c r="QSB130" s="98"/>
      <c r="QSC130" s="98"/>
      <c r="QSD130" s="98"/>
      <c r="QSE130" s="98"/>
      <c r="QSF130" s="98"/>
      <c r="QSG130" s="98"/>
      <c r="QSH130" s="98"/>
      <c r="QSI130" s="98"/>
      <c r="QSJ130" s="98"/>
      <c r="QSK130" s="98"/>
      <c r="QSL130" s="98"/>
      <c r="QSM130" s="98"/>
      <c r="QSN130" s="98"/>
      <c r="QSO130" s="98"/>
      <c r="QSP130" s="98"/>
      <c r="QSQ130" s="98"/>
      <c r="QSR130" s="98"/>
      <c r="QSS130" s="98"/>
      <c r="QST130" s="98"/>
      <c r="QSU130" s="98"/>
      <c r="QSV130" s="98"/>
      <c r="QSW130" s="98"/>
      <c r="QSX130" s="98"/>
      <c r="QSY130" s="98"/>
      <c r="QSZ130" s="98"/>
      <c r="QTA130" s="98"/>
      <c r="QTB130" s="98"/>
      <c r="QTC130" s="98"/>
      <c r="QTD130" s="98"/>
      <c r="QTE130" s="98"/>
      <c r="QTF130" s="98"/>
      <c r="QTG130" s="98"/>
      <c r="QTH130" s="98"/>
      <c r="QTI130" s="98"/>
      <c r="QTJ130" s="98"/>
      <c r="QTK130" s="98"/>
      <c r="QTL130" s="98"/>
      <c r="QTM130" s="98"/>
      <c r="QTN130" s="98"/>
      <c r="QTO130" s="98"/>
      <c r="QTP130" s="98"/>
      <c r="QTQ130" s="98"/>
      <c r="QTR130" s="98"/>
      <c r="QTS130" s="98"/>
      <c r="QTT130" s="98"/>
      <c r="QTU130" s="98"/>
      <c r="QTV130" s="98"/>
      <c r="QTW130" s="98"/>
      <c r="QTX130" s="98"/>
      <c r="QTY130" s="98"/>
      <c r="QTZ130" s="98"/>
      <c r="QUA130" s="98"/>
      <c r="QUB130" s="98"/>
      <c r="QUC130" s="98"/>
      <c r="QUD130" s="98"/>
      <c r="QUE130" s="98"/>
      <c r="QUF130" s="98"/>
      <c r="QUG130" s="98"/>
      <c r="QUH130" s="98"/>
      <c r="QUI130" s="98"/>
      <c r="QUJ130" s="98"/>
      <c r="QUK130" s="98"/>
      <c r="QUL130" s="98"/>
      <c r="QUM130" s="98"/>
      <c r="QUN130" s="98"/>
      <c r="QUO130" s="98"/>
      <c r="QUP130" s="98"/>
      <c r="QUQ130" s="98"/>
      <c r="QUR130" s="98"/>
      <c r="QUS130" s="98"/>
      <c r="QUT130" s="98"/>
      <c r="QUU130" s="98"/>
      <c r="QUV130" s="98"/>
      <c r="QUW130" s="98"/>
      <c r="QUX130" s="98"/>
      <c r="QUY130" s="98"/>
      <c r="QUZ130" s="98"/>
      <c r="QVA130" s="98"/>
      <c r="QVB130" s="98"/>
      <c r="QVC130" s="98"/>
      <c r="QVD130" s="98"/>
      <c r="QVE130" s="98"/>
      <c r="QVF130" s="98"/>
      <c r="QVG130" s="98"/>
      <c r="QVH130" s="98"/>
      <c r="QVI130" s="98"/>
      <c r="QVJ130" s="98"/>
      <c r="QVK130" s="98"/>
      <c r="QVL130" s="98"/>
      <c r="QVM130" s="98"/>
      <c r="QVN130" s="98"/>
      <c r="QVO130" s="98"/>
      <c r="QVP130" s="98"/>
      <c r="QVQ130" s="98"/>
      <c r="QVR130" s="98"/>
      <c r="QVS130" s="98"/>
      <c r="QVT130" s="98"/>
      <c r="QVU130" s="98"/>
      <c r="QVV130" s="98"/>
      <c r="QVW130" s="98"/>
      <c r="QVX130" s="98"/>
      <c r="QVY130" s="98"/>
      <c r="QVZ130" s="98"/>
      <c r="QWA130" s="98"/>
      <c r="QWB130" s="98"/>
      <c r="QWC130" s="98"/>
      <c r="QWD130" s="98"/>
      <c r="QWE130" s="98"/>
      <c r="QWF130" s="98"/>
      <c r="QWG130" s="98"/>
      <c r="QWH130" s="98"/>
      <c r="QWI130" s="98"/>
      <c r="QWJ130" s="98"/>
      <c r="QWK130" s="98"/>
      <c r="QWL130" s="98"/>
      <c r="QWM130" s="98"/>
      <c r="QWN130" s="98"/>
      <c r="QWO130" s="98"/>
      <c r="QWP130" s="98"/>
      <c r="QWQ130" s="98"/>
      <c r="QWR130" s="98"/>
      <c r="QWS130" s="98"/>
      <c r="QWT130" s="98"/>
      <c r="QWU130" s="98"/>
      <c r="QWV130" s="98"/>
      <c r="QWW130" s="98"/>
      <c r="QWX130" s="98"/>
      <c r="QWY130" s="98"/>
      <c r="QWZ130" s="98"/>
      <c r="QXA130" s="98"/>
      <c r="QXB130" s="98"/>
      <c r="QXC130" s="98"/>
      <c r="QXD130" s="98"/>
      <c r="QXE130" s="98"/>
      <c r="QXF130" s="98"/>
      <c r="QXG130" s="98"/>
      <c r="QXH130" s="98"/>
      <c r="QXI130" s="98"/>
      <c r="QXJ130" s="98"/>
      <c r="QXK130" s="98"/>
      <c r="QXL130" s="98"/>
      <c r="QXM130" s="98"/>
      <c r="QXN130" s="98"/>
      <c r="QXO130" s="98"/>
      <c r="QXP130" s="98"/>
      <c r="QXQ130" s="98"/>
      <c r="QXR130" s="98"/>
      <c r="QXS130" s="98"/>
      <c r="QXT130" s="98"/>
      <c r="QXU130" s="98"/>
      <c r="QXV130" s="98"/>
      <c r="QXW130" s="98"/>
      <c r="QXX130" s="98"/>
      <c r="QXY130" s="98"/>
      <c r="QXZ130" s="98"/>
      <c r="QYA130" s="98"/>
      <c r="QYB130" s="98"/>
      <c r="QYC130" s="98"/>
      <c r="QYD130" s="98"/>
      <c r="QYE130" s="98"/>
      <c r="QYF130" s="98"/>
      <c r="QYG130" s="98"/>
      <c r="QYH130" s="98"/>
      <c r="QYI130" s="98"/>
      <c r="QYJ130" s="98"/>
      <c r="QYK130" s="98"/>
      <c r="QYL130" s="98"/>
      <c r="QYM130" s="98"/>
      <c r="QYN130" s="98"/>
      <c r="QYO130" s="98"/>
      <c r="QYP130" s="98"/>
      <c r="QYQ130" s="98"/>
      <c r="QYR130" s="98"/>
      <c r="QYS130" s="98"/>
      <c r="QYT130" s="98"/>
      <c r="QYU130" s="98"/>
      <c r="QYV130" s="98"/>
      <c r="QYW130" s="98"/>
      <c r="QYX130" s="98"/>
      <c r="QYY130" s="98"/>
      <c r="QYZ130" s="98"/>
      <c r="QZA130" s="98"/>
      <c r="QZB130" s="98"/>
      <c r="QZC130" s="98"/>
      <c r="QZD130" s="98"/>
      <c r="QZE130" s="98"/>
      <c r="QZF130" s="98"/>
      <c r="QZG130" s="98"/>
      <c r="QZH130" s="98"/>
      <c r="QZI130" s="98"/>
      <c r="QZJ130" s="98"/>
      <c r="QZK130" s="98"/>
      <c r="QZL130" s="98"/>
      <c r="QZM130" s="98"/>
      <c r="QZN130" s="98"/>
      <c r="QZO130" s="98"/>
      <c r="QZP130" s="98"/>
      <c r="QZQ130" s="98"/>
      <c r="QZR130" s="98"/>
      <c r="QZS130" s="98"/>
      <c r="QZT130" s="98"/>
      <c r="QZU130" s="98"/>
      <c r="QZV130" s="98"/>
      <c r="QZW130" s="98"/>
      <c r="QZX130" s="98"/>
      <c r="QZY130" s="98"/>
      <c r="QZZ130" s="98"/>
      <c r="RAA130" s="98"/>
      <c r="RAB130" s="98"/>
      <c r="RAC130" s="98"/>
      <c r="RAD130" s="98"/>
      <c r="RAE130" s="98"/>
      <c r="RAF130" s="98"/>
      <c r="RAG130" s="98"/>
      <c r="RAH130" s="98"/>
      <c r="RAI130" s="98"/>
      <c r="RAJ130" s="98"/>
      <c r="RAK130" s="98"/>
      <c r="RAL130" s="98"/>
      <c r="RAM130" s="98"/>
      <c r="RAN130" s="98"/>
      <c r="RAO130" s="98"/>
      <c r="RAP130" s="98"/>
      <c r="RAQ130" s="98"/>
      <c r="RAR130" s="98"/>
      <c r="RAS130" s="98"/>
      <c r="RAT130" s="98"/>
      <c r="RAU130" s="98"/>
      <c r="RAV130" s="98"/>
      <c r="RAW130" s="98"/>
      <c r="RAX130" s="98"/>
      <c r="RAY130" s="98"/>
      <c r="RAZ130" s="98"/>
      <c r="RBA130" s="98"/>
      <c r="RBB130" s="98"/>
      <c r="RBC130" s="98"/>
      <c r="RBD130" s="98"/>
      <c r="RBE130" s="98"/>
      <c r="RBF130" s="98"/>
      <c r="RBG130" s="98"/>
      <c r="RBH130" s="98"/>
      <c r="RBI130" s="98"/>
      <c r="RBJ130" s="98"/>
      <c r="RBK130" s="98"/>
      <c r="RBL130" s="98"/>
      <c r="RBM130" s="98"/>
      <c r="RBN130" s="98"/>
      <c r="RBO130" s="98"/>
      <c r="RBP130" s="98"/>
      <c r="RBQ130" s="98"/>
      <c r="RBR130" s="98"/>
      <c r="RBS130" s="98"/>
      <c r="RBT130" s="98"/>
      <c r="RBU130" s="98"/>
      <c r="RBV130" s="98"/>
      <c r="RBW130" s="98"/>
      <c r="RBX130" s="98"/>
      <c r="RBY130" s="98"/>
      <c r="RBZ130" s="98"/>
      <c r="RCA130" s="98"/>
      <c r="RCB130" s="98"/>
      <c r="RCC130" s="98"/>
      <c r="RCD130" s="98"/>
      <c r="RCE130" s="98"/>
      <c r="RCF130" s="98"/>
      <c r="RCG130" s="98"/>
      <c r="RCH130" s="98"/>
      <c r="RCI130" s="98"/>
      <c r="RCJ130" s="98"/>
      <c r="RCK130" s="98"/>
      <c r="RCL130" s="98"/>
      <c r="RCM130" s="98"/>
      <c r="RCN130" s="98"/>
      <c r="RCO130" s="98"/>
      <c r="RCP130" s="98"/>
      <c r="RCQ130" s="98"/>
      <c r="RCR130" s="98"/>
      <c r="RCS130" s="98"/>
      <c r="RCT130" s="98"/>
      <c r="RCU130" s="98"/>
      <c r="RCV130" s="98"/>
      <c r="RCW130" s="98"/>
      <c r="RCX130" s="98"/>
      <c r="RCY130" s="98"/>
      <c r="RCZ130" s="98"/>
      <c r="RDA130" s="98"/>
      <c r="RDB130" s="98"/>
      <c r="RDC130" s="98"/>
      <c r="RDD130" s="98"/>
      <c r="RDE130" s="98"/>
      <c r="RDF130" s="98"/>
      <c r="RDG130" s="98"/>
      <c r="RDH130" s="98"/>
      <c r="RDI130" s="98"/>
      <c r="RDJ130" s="98"/>
      <c r="RDK130" s="98"/>
      <c r="RDL130" s="98"/>
      <c r="RDM130" s="98"/>
      <c r="RDN130" s="98"/>
      <c r="RDO130" s="98"/>
      <c r="RDP130" s="98"/>
      <c r="RDQ130" s="98"/>
      <c r="RDR130" s="98"/>
      <c r="RDS130" s="98"/>
      <c r="RDT130" s="98"/>
      <c r="RDU130" s="98"/>
      <c r="RDV130" s="98"/>
      <c r="RDW130" s="98"/>
      <c r="RDX130" s="98"/>
      <c r="RDY130" s="98"/>
      <c r="RDZ130" s="98"/>
      <c r="REA130" s="98"/>
      <c r="REB130" s="98"/>
      <c r="REC130" s="98"/>
      <c r="RED130" s="98"/>
      <c r="REE130" s="98"/>
      <c r="REF130" s="98"/>
      <c r="REG130" s="98"/>
      <c r="REH130" s="98"/>
      <c r="REI130" s="98"/>
      <c r="REJ130" s="98"/>
      <c r="REK130" s="98"/>
      <c r="REL130" s="98"/>
      <c r="REM130" s="98"/>
      <c r="REN130" s="98"/>
      <c r="REO130" s="98"/>
      <c r="REP130" s="98"/>
      <c r="REQ130" s="98"/>
      <c r="RER130" s="98"/>
      <c r="RES130" s="98"/>
      <c r="RET130" s="98"/>
      <c r="REU130" s="98"/>
      <c r="REV130" s="98"/>
      <c r="REW130" s="98"/>
      <c r="REX130" s="98"/>
      <c r="REY130" s="98"/>
      <c r="REZ130" s="98"/>
      <c r="RFA130" s="98"/>
      <c r="RFB130" s="98"/>
      <c r="RFC130" s="98"/>
      <c r="RFD130" s="98"/>
      <c r="RFE130" s="98"/>
      <c r="RFF130" s="98"/>
      <c r="RFG130" s="98"/>
      <c r="RFH130" s="98"/>
      <c r="RFI130" s="98"/>
      <c r="RFJ130" s="98"/>
      <c r="RFK130" s="98"/>
      <c r="RFL130" s="98"/>
      <c r="RFM130" s="98"/>
      <c r="RFN130" s="98"/>
      <c r="RFO130" s="98"/>
      <c r="RFP130" s="98"/>
      <c r="RFQ130" s="98"/>
      <c r="RFR130" s="98"/>
      <c r="RFS130" s="98"/>
      <c r="RFT130" s="98"/>
      <c r="RFU130" s="98"/>
      <c r="RFV130" s="98"/>
      <c r="RFW130" s="98"/>
      <c r="RFX130" s="98"/>
      <c r="RFY130" s="98"/>
      <c r="RFZ130" s="98"/>
      <c r="RGA130" s="98"/>
      <c r="RGB130" s="98"/>
      <c r="RGC130" s="98"/>
      <c r="RGD130" s="98"/>
      <c r="RGE130" s="98"/>
      <c r="RGF130" s="98"/>
      <c r="RGG130" s="98"/>
      <c r="RGH130" s="98"/>
      <c r="RGI130" s="98"/>
      <c r="RGJ130" s="98"/>
      <c r="RGK130" s="98"/>
      <c r="RGL130" s="98"/>
      <c r="RGM130" s="98"/>
      <c r="RGN130" s="98"/>
      <c r="RGO130" s="98"/>
      <c r="RGP130" s="98"/>
      <c r="RGQ130" s="98"/>
      <c r="RGR130" s="98"/>
      <c r="RGS130" s="98"/>
      <c r="RGT130" s="98"/>
      <c r="RGU130" s="98"/>
      <c r="RGV130" s="98"/>
      <c r="RGW130" s="98"/>
      <c r="RGX130" s="98"/>
      <c r="RGY130" s="98"/>
      <c r="RGZ130" s="98"/>
      <c r="RHA130" s="98"/>
      <c r="RHB130" s="98"/>
      <c r="RHC130" s="98"/>
      <c r="RHD130" s="98"/>
      <c r="RHE130" s="98"/>
      <c r="RHF130" s="98"/>
      <c r="RHG130" s="98"/>
      <c r="RHH130" s="98"/>
      <c r="RHI130" s="98"/>
      <c r="RHJ130" s="98"/>
      <c r="RHK130" s="98"/>
      <c r="RHL130" s="98"/>
      <c r="RHM130" s="98"/>
      <c r="RHN130" s="98"/>
      <c r="RHO130" s="98"/>
      <c r="RHP130" s="98"/>
      <c r="RHQ130" s="98"/>
      <c r="RHR130" s="98"/>
      <c r="RHS130" s="98"/>
      <c r="RHT130" s="98"/>
      <c r="RHU130" s="98"/>
      <c r="RHV130" s="98"/>
      <c r="RHW130" s="98"/>
      <c r="RHX130" s="98"/>
      <c r="RHY130" s="98"/>
      <c r="RHZ130" s="98"/>
      <c r="RIA130" s="98"/>
      <c r="RIB130" s="98"/>
      <c r="RIC130" s="98"/>
      <c r="RID130" s="98"/>
      <c r="RIE130" s="98"/>
      <c r="RIF130" s="98"/>
      <c r="RIG130" s="98"/>
      <c r="RIH130" s="98"/>
      <c r="RII130" s="98"/>
      <c r="RIJ130" s="98"/>
      <c r="RIK130" s="98"/>
      <c r="RIL130" s="98"/>
      <c r="RIM130" s="98"/>
      <c r="RIN130" s="98"/>
      <c r="RIO130" s="98"/>
      <c r="RIP130" s="98"/>
      <c r="RIQ130" s="98"/>
      <c r="RIR130" s="98"/>
      <c r="RIS130" s="98"/>
      <c r="RIT130" s="98"/>
      <c r="RIU130" s="98"/>
      <c r="RIV130" s="98"/>
      <c r="RIW130" s="98"/>
      <c r="RIX130" s="98"/>
      <c r="RIY130" s="98"/>
      <c r="RIZ130" s="98"/>
      <c r="RJA130" s="98"/>
      <c r="RJB130" s="98"/>
      <c r="RJC130" s="98"/>
      <c r="RJD130" s="98"/>
      <c r="RJE130" s="98"/>
      <c r="RJF130" s="98"/>
      <c r="RJG130" s="98"/>
      <c r="RJH130" s="98"/>
      <c r="RJI130" s="98"/>
      <c r="RJJ130" s="98"/>
      <c r="RJK130" s="98"/>
      <c r="RJL130" s="98"/>
      <c r="RJM130" s="98"/>
      <c r="RJN130" s="98"/>
      <c r="RJO130" s="98"/>
      <c r="RJP130" s="98"/>
      <c r="RJQ130" s="98"/>
      <c r="RJR130" s="98"/>
      <c r="RJS130" s="98"/>
      <c r="RJT130" s="98"/>
      <c r="RJU130" s="98"/>
      <c r="RJV130" s="98"/>
      <c r="RJW130" s="98"/>
      <c r="RJX130" s="98"/>
      <c r="RJY130" s="98"/>
      <c r="RJZ130" s="98"/>
      <c r="RKA130" s="98"/>
      <c r="RKB130" s="98"/>
      <c r="RKC130" s="98"/>
      <c r="RKD130" s="98"/>
      <c r="RKE130" s="98"/>
      <c r="RKF130" s="98"/>
      <c r="RKG130" s="98"/>
      <c r="RKH130" s="98"/>
      <c r="RKI130" s="98"/>
      <c r="RKJ130" s="98"/>
      <c r="RKK130" s="98"/>
      <c r="RKL130" s="98"/>
      <c r="RKM130" s="98"/>
      <c r="RKN130" s="98"/>
      <c r="RKO130" s="98"/>
      <c r="RKP130" s="98"/>
      <c r="RKQ130" s="98"/>
      <c r="RKR130" s="98"/>
      <c r="RKS130" s="98"/>
      <c r="RKT130" s="98"/>
      <c r="RKU130" s="98"/>
      <c r="RKV130" s="98"/>
      <c r="RKW130" s="98"/>
      <c r="RKX130" s="98"/>
      <c r="RKY130" s="98"/>
      <c r="RKZ130" s="98"/>
      <c r="RLA130" s="98"/>
      <c r="RLB130" s="98"/>
      <c r="RLC130" s="98"/>
      <c r="RLD130" s="98"/>
      <c r="RLE130" s="98"/>
      <c r="RLF130" s="98"/>
      <c r="RLG130" s="98"/>
      <c r="RLH130" s="98"/>
      <c r="RLI130" s="98"/>
      <c r="RLJ130" s="98"/>
      <c r="RLK130" s="98"/>
      <c r="RLL130" s="98"/>
      <c r="RLM130" s="98"/>
      <c r="RLN130" s="98"/>
      <c r="RLO130" s="98"/>
      <c r="RLP130" s="98"/>
      <c r="RLQ130" s="98"/>
      <c r="RLR130" s="98"/>
      <c r="RLS130" s="98"/>
      <c r="RLT130" s="98"/>
      <c r="RLU130" s="98"/>
      <c r="RLV130" s="98"/>
      <c r="RLW130" s="98"/>
      <c r="RLX130" s="98"/>
      <c r="RLY130" s="98"/>
      <c r="RLZ130" s="98"/>
      <c r="RMA130" s="98"/>
      <c r="RMB130" s="98"/>
      <c r="RMC130" s="98"/>
      <c r="RMD130" s="98"/>
      <c r="RME130" s="98"/>
      <c r="RMF130" s="98"/>
      <c r="RMG130" s="98"/>
      <c r="RMH130" s="98"/>
      <c r="RMI130" s="98"/>
      <c r="RMJ130" s="98"/>
      <c r="RMK130" s="98"/>
      <c r="RML130" s="98"/>
      <c r="RMM130" s="98"/>
      <c r="RMN130" s="98"/>
      <c r="RMO130" s="98"/>
      <c r="RMP130" s="98"/>
      <c r="RMQ130" s="98"/>
      <c r="RMR130" s="98"/>
      <c r="RMS130" s="98"/>
      <c r="RMT130" s="98"/>
      <c r="RMU130" s="98"/>
      <c r="RMV130" s="98"/>
      <c r="RMW130" s="98"/>
      <c r="RMX130" s="98"/>
      <c r="RMY130" s="98"/>
      <c r="RMZ130" s="98"/>
      <c r="RNA130" s="98"/>
      <c r="RNB130" s="98"/>
      <c r="RNC130" s="98"/>
      <c r="RND130" s="98"/>
      <c r="RNE130" s="98"/>
      <c r="RNF130" s="98"/>
      <c r="RNG130" s="98"/>
      <c r="RNH130" s="98"/>
      <c r="RNI130" s="98"/>
      <c r="RNJ130" s="98"/>
      <c r="RNK130" s="98"/>
      <c r="RNL130" s="98"/>
      <c r="RNM130" s="98"/>
      <c r="RNN130" s="98"/>
      <c r="RNO130" s="98"/>
      <c r="RNP130" s="98"/>
      <c r="RNQ130" s="98"/>
      <c r="RNR130" s="98"/>
      <c r="RNS130" s="98"/>
      <c r="RNT130" s="98"/>
      <c r="RNU130" s="98"/>
      <c r="RNV130" s="98"/>
      <c r="RNW130" s="98"/>
      <c r="RNX130" s="98"/>
      <c r="RNY130" s="98"/>
      <c r="RNZ130" s="98"/>
      <c r="ROA130" s="98"/>
      <c r="ROB130" s="98"/>
      <c r="ROC130" s="98"/>
      <c r="ROD130" s="98"/>
      <c r="ROE130" s="98"/>
      <c r="ROF130" s="98"/>
      <c r="ROG130" s="98"/>
      <c r="ROH130" s="98"/>
      <c r="ROI130" s="98"/>
      <c r="ROJ130" s="98"/>
      <c r="ROK130" s="98"/>
      <c r="ROL130" s="98"/>
      <c r="ROM130" s="98"/>
      <c r="RON130" s="98"/>
      <c r="ROO130" s="98"/>
      <c r="ROP130" s="98"/>
      <c r="ROQ130" s="98"/>
      <c r="ROR130" s="98"/>
      <c r="ROS130" s="98"/>
      <c r="ROT130" s="98"/>
      <c r="ROU130" s="98"/>
      <c r="ROV130" s="98"/>
      <c r="ROW130" s="98"/>
      <c r="ROX130" s="98"/>
      <c r="ROY130" s="98"/>
      <c r="ROZ130" s="98"/>
      <c r="RPA130" s="98"/>
      <c r="RPB130" s="98"/>
      <c r="RPC130" s="98"/>
      <c r="RPD130" s="98"/>
      <c r="RPE130" s="98"/>
      <c r="RPF130" s="98"/>
      <c r="RPG130" s="98"/>
      <c r="RPH130" s="98"/>
      <c r="RPI130" s="98"/>
      <c r="RPJ130" s="98"/>
      <c r="RPK130" s="98"/>
      <c r="RPL130" s="98"/>
      <c r="RPM130" s="98"/>
      <c r="RPN130" s="98"/>
      <c r="RPO130" s="98"/>
      <c r="RPP130" s="98"/>
      <c r="RPQ130" s="98"/>
      <c r="RPR130" s="98"/>
      <c r="RPS130" s="98"/>
      <c r="RPT130" s="98"/>
      <c r="RPU130" s="98"/>
      <c r="RPV130" s="98"/>
      <c r="RPW130" s="98"/>
      <c r="RPX130" s="98"/>
      <c r="RPY130" s="98"/>
      <c r="RPZ130" s="98"/>
      <c r="RQA130" s="98"/>
      <c r="RQB130" s="98"/>
      <c r="RQC130" s="98"/>
      <c r="RQD130" s="98"/>
      <c r="RQE130" s="98"/>
      <c r="RQF130" s="98"/>
      <c r="RQG130" s="98"/>
      <c r="RQH130" s="98"/>
      <c r="RQI130" s="98"/>
      <c r="RQJ130" s="98"/>
      <c r="RQK130" s="98"/>
      <c r="RQL130" s="98"/>
      <c r="RQM130" s="98"/>
      <c r="RQN130" s="98"/>
      <c r="RQO130" s="98"/>
      <c r="RQP130" s="98"/>
      <c r="RQQ130" s="98"/>
      <c r="RQR130" s="98"/>
      <c r="RQS130" s="98"/>
      <c r="RQT130" s="98"/>
      <c r="RQU130" s="98"/>
      <c r="RQV130" s="98"/>
      <c r="RQW130" s="98"/>
      <c r="RQX130" s="98"/>
      <c r="RQY130" s="98"/>
      <c r="RQZ130" s="98"/>
      <c r="RRA130" s="98"/>
      <c r="RRB130" s="98"/>
      <c r="RRC130" s="98"/>
      <c r="RRD130" s="98"/>
      <c r="RRE130" s="98"/>
      <c r="RRF130" s="98"/>
      <c r="RRG130" s="98"/>
      <c r="RRH130" s="98"/>
      <c r="RRI130" s="98"/>
      <c r="RRJ130" s="98"/>
      <c r="RRK130" s="98"/>
      <c r="RRL130" s="98"/>
      <c r="RRM130" s="98"/>
      <c r="RRN130" s="98"/>
      <c r="RRO130" s="98"/>
      <c r="RRP130" s="98"/>
      <c r="RRQ130" s="98"/>
      <c r="RRR130" s="98"/>
      <c r="RRS130" s="98"/>
      <c r="RRT130" s="98"/>
      <c r="RRU130" s="98"/>
      <c r="RRV130" s="98"/>
      <c r="RRW130" s="98"/>
      <c r="RRX130" s="98"/>
      <c r="RRY130" s="98"/>
      <c r="RRZ130" s="98"/>
      <c r="RSA130" s="98"/>
      <c r="RSB130" s="98"/>
      <c r="RSC130" s="98"/>
      <c r="RSD130" s="98"/>
      <c r="RSE130" s="98"/>
      <c r="RSF130" s="98"/>
      <c r="RSG130" s="98"/>
      <c r="RSH130" s="98"/>
      <c r="RSI130" s="98"/>
      <c r="RSJ130" s="98"/>
      <c r="RSK130" s="98"/>
      <c r="RSL130" s="98"/>
      <c r="RSM130" s="98"/>
      <c r="RSN130" s="98"/>
      <c r="RSO130" s="98"/>
      <c r="RSP130" s="98"/>
      <c r="RSQ130" s="98"/>
      <c r="RSR130" s="98"/>
      <c r="RSS130" s="98"/>
      <c r="RST130" s="98"/>
      <c r="RSU130" s="98"/>
      <c r="RSV130" s="98"/>
      <c r="RSW130" s="98"/>
      <c r="RSX130" s="98"/>
      <c r="RSY130" s="98"/>
      <c r="RSZ130" s="98"/>
      <c r="RTA130" s="98"/>
      <c r="RTB130" s="98"/>
      <c r="RTC130" s="98"/>
      <c r="RTD130" s="98"/>
      <c r="RTE130" s="98"/>
      <c r="RTF130" s="98"/>
      <c r="RTG130" s="98"/>
      <c r="RTH130" s="98"/>
      <c r="RTI130" s="98"/>
      <c r="RTJ130" s="98"/>
      <c r="RTK130" s="98"/>
      <c r="RTL130" s="98"/>
      <c r="RTM130" s="98"/>
      <c r="RTN130" s="98"/>
      <c r="RTO130" s="98"/>
      <c r="RTP130" s="98"/>
      <c r="RTQ130" s="98"/>
      <c r="RTR130" s="98"/>
      <c r="RTS130" s="98"/>
      <c r="RTT130" s="98"/>
      <c r="RTU130" s="98"/>
      <c r="RTV130" s="98"/>
      <c r="RTW130" s="98"/>
      <c r="RTX130" s="98"/>
      <c r="RTY130" s="98"/>
      <c r="RTZ130" s="98"/>
      <c r="RUA130" s="98"/>
      <c r="RUB130" s="98"/>
      <c r="RUC130" s="98"/>
      <c r="RUD130" s="98"/>
      <c r="RUE130" s="98"/>
      <c r="RUF130" s="98"/>
      <c r="RUG130" s="98"/>
      <c r="RUH130" s="98"/>
      <c r="RUI130" s="98"/>
      <c r="RUJ130" s="98"/>
      <c r="RUK130" s="98"/>
      <c r="RUL130" s="98"/>
      <c r="RUM130" s="98"/>
      <c r="RUN130" s="98"/>
      <c r="RUO130" s="98"/>
      <c r="RUP130" s="98"/>
      <c r="RUQ130" s="98"/>
      <c r="RUR130" s="98"/>
      <c r="RUS130" s="98"/>
      <c r="RUT130" s="98"/>
      <c r="RUU130" s="98"/>
      <c r="RUV130" s="98"/>
      <c r="RUW130" s="98"/>
      <c r="RUX130" s="98"/>
      <c r="RUY130" s="98"/>
      <c r="RUZ130" s="98"/>
      <c r="RVA130" s="98"/>
      <c r="RVB130" s="98"/>
      <c r="RVC130" s="98"/>
      <c r="RVD130" s="98"/>
      <c r="RVE130" s="98"/>
      <c r="RVF130" s="98"/>
      <c r="RVG130" s="98"/>
      <c r="RVH130" s="98"/>
      <c r="RVI130" s="98"/>
      <c r="RVJ130" s="98"/>
      <c r="RVK130" s="98"/>
      <c r="RVL130" s="98"/>
      <c r="RVM130" s="98"/>
      <c r="RVN130" s="98"/>
      <c r="RVO130" s="98"/>
      <c r="RVP130" s="98"/>
      <c r="RVQ130" s="98"/>
      <c r="RVR130" s="98"/>
      <c r="RVS130" s="98"/>
      <c r="RVT130" s="98"/>
      <c r="RVU130" s="98"/>
      <c r="RVV130" s="98"/>
      <c r="RVW130" s="98"/>
      <c r="RVX130" s="98"/>
      <c r="RVY130" s="98"/>
      <c r="RVZ130" s="98"/>
      <c r="RWA130" s="98"/>
      <c r="RWB130" s="98"/>
      <c r="RWC130" s="98"/>
      <c r="RWD130" s="98"/>
      <c r="RWE130" s="98"/>
      <c r="RWF130" s="98"/>
      <c r="RWG130" s="98"/>
      <c r="RWH130" s="98"/>
      <c r="RWI130" s="98"/>
      <c r="RWJ130" s="98"/>
      <c r="RWK130" s="98"/>
      <c r="RWL130" s="98"/>
      <c r="RWM130" s="98"/>
      <c r="RWN130" s="98"/>
      <c r="RWO130" s="98"/>
      <c r="RWP130" s="98"/>
      <c r="RWQ130" s="98"/>
      <c r="RWR130" s="98"/>
      <c r="RWS130" s="98"/>
      <c r="RWT130" s="98"/>
      <c r="RWU130" s="98"/>
      <c r="RWV130" s="98"/>
      <c r="RWW130" s="98"/>
      <c r="RWX130" s="98"/>
      <c r="RWY130" s="98"/>
      <c r="RWZ130" s="98"/>
      <c r="RXA130" s="98"/>
      <c r="RXB130" s="98"/>
      <c r="RXC130" s="98"/>
      <c r="RXD130" s="98"/>
      <c r="RXE130" s="98"/>
      <c r="RXF130" s="98"/>
      <c r="RXG130" s="98"/>
      <c r="RXH130" s="98"/>
      <c r="RXI130" s="98"/>
      <c r="RXJ130" s="98"/>
      <c r="RXK130" s="98"/>
      <c r="RXL130" s="98"/>
      <c r="RXM130" s="98"/>
      <c r="RXN130" s="98"/>
      <c r="RXO130" s="98"/>
      <c r="RXP130" s="98"/>
      <c r="RXQ130" s="98"/>
      <c r="RXR130" s="98"/>
      <c r="RXS130" s="98"/>
      <c r="RXT130" s="98"/>
      <c r="RXU130" s="98"/>
      <c r="RXV130" s="98"/>
      <c r="RXW130" s="98"/>
      <c r="RXX130" s="98"/>
      <c r="RXY130" s="98"/>
      <c r="RXZ130" s="98"/>
      <c r="RYA130" s="98"/>
      <c r="RYB130" s="98"/>
      <c r="RYC130" s="98"/>
      <c r="RYD130" s="98"/>
      <c r="RYE130" s="98"/>
      <c r="RYF130" s="98"/>
      <c r="RYG130" s="98"/>
      <c r="RYH130" s="98"/>
      <c r="RYI130" s="98"/>
      <c r="RYJ130" s="98"/>
      <c r="RYK130" s="98"/>
      <c r="RYL130" s="98"/>
      <c r="RYM130" s="98"/>
      <c r="RYN130" s="98"/>
      <c r="RYO130" s="98"/>
      <c r="RYP130" s="98"/>
      <c r="RYQ130" s="98"/>
      <c r="RYR130" s="98"/>
      <c r="RYS130" s="98"/>
      <c r="RYT130" s="98"/>
      <c r="RYU130" s="98"/>
      <c r="RYV130" s="98"/>
      <c r="RYW130" s="98"/>
      <c r="RYX130" s="98"/>
      <c r="RYY130" s="98"/>
      <c r="RYZ130" s="98"/>
      <c r="RZA130" s="98"/>
      <c r="RZB130" s="98"/>
      <c r="RZC130" s="98"/>
      <c r="RZD130" s="98"/>
      <c r="RZE130" s="98"/>
      <c r="RZF130" s="98"/>
      <c r="RZG130" s="98"/>
      <c r="RZH130" s="98"/>
      <c r="RZI130" s="98"/>
      <c r="RZJ130" s="98"/>
      <c r="RZK130" s="98"/>
      <c r="RZL130" s="98"/>
      <c r="RZM130" s="98"/>
      <c r="RZN130" s="98"/>
      <c r="RZO130" s="98"/>
      <c r="RZP130" s="98"/>
      <c r="RZQ130" s="98"/>
      <c r="RZR130" s="98"/>
      <c r="RZS130" s="98"/>
      <c r="RZT130" s="98"/>
      <c r="RZU130" s="98"/>
      <c r="RZV130" s="98"/>
      <c r="RZW130" s="98"/>
      <c r="RZX130" s="98"/>
      <c r="RZY130" s="98"/>
      <c r="RZZ130" s="98"/>
      <c r="SAA130" s="98"/>
      <c r="SAB130" s="98"/>
      <c r="SAC130" s="98"/>
      <c r="SAD130" s="98"/>
      <c r="SAE130" s="98"/>
      <c r="SAF130" s="98"/>
      <c r="SAG130" s="98"/>
      <c r="SAH130" s="98"/>
      <c r="SAI130" s="98"/>
      <c r="SAJ130" s="98"/>
      <c r="SAK130" s="98"/>
      <c r="SAL130" s="98"/>
      <c r="SAM130" s="98"/>
      <c r="SAN130" s="98"/>
      <c r="SAO130" s="98"/>
      <c r="SAP130" s="98"/>
      <c r="SAQ130" s="98"/>
      <c r="SAR130" s="98"/>
      <c r="SAS130" s="98"/>
      <c r="SAT130" s="98"/>
      <c r="SAU130" s="98"/>
      <c r="SAV130" s="98"/>
      <c r="SAW130" s="98"/>
      <c r="SAX130" s="98"/>
      <c r="SAY130" s="98"/>
      <c r="SAZ130" s="98"/>
      <c r="SBA130" s="98"/>
      <c r="SBB130" s="98"/>
      <c r="SBC130" s="98"/>
      <c r="SBD130" s="98"/>
      <c r="SBE130" s="98"/>
      <c r="SBF130" s="98"/>
      <c r="SBG130" s="98"/>
      <c r="SBH130" s="98"/>
      <c r="SBI130" s="98"/>
      <c r="SBJ130" s="98"/>
      <c r="SBK130" s="98"/>
      <c r="SBL130" s="98"/>
      <c r="SBM130" s="98"/>
      <c r="SBN130" s="98"/>
      <c r="SBO130" s="98"/>
      <c r="SBP130" s="98"/>
      <c r="SBQ130" s="98"/>
      <c r="SBR130" s="98"/>
      <c r="SBS130" s="98"/>
      <c r="SBT130" s="98"/>
      <c r="SBU130" s="98"/>
      <c r="SBV130" s="98"/>
      <c r="SBW130" s="98"/>
      <c r="SBX130" s="98"/>
      <c r="SBY130" s="98"/>
      <c r="SBZ130" s="98"/>
      <c r="SCA130" s="98"/>
      <c r="SCB130" s="98"/>
      <c r="SCC130" s="98"/>
      <c r="SCD130" s="98"/>
      <c r="SCE130" s="98"/>
      <c r="SCF130" s="98"/>
      <c r="SCG130" s="98"/>
      <c r="SCH130" s="98"/>
      <c r="SCI130" s="98"/>
      <c r="SCJ130" s="98"/>
      <c r="SCK130" s="98"/>
      <c r="SCL130" s="98"/>
      <c r="SCM130" s="98"/>
      <c r="SCN130" s="98"/>
      <c r="SCO130" s="98"/>
      <c r="SCP130" s="98"/>
      <c r="SCQ130" s="98"/>
      <c r="SCR130" s="98"/>
      <c r="SCS130" s="98"/>
      <c r="SCT130" s="98"/>
      <c r="SCU130" s="98"/>
      <c r="SCV130" s="98"/>
      <c r="SCW130" s="98"/>
      <c r="SCX130" s="98"/>
      <c r="SCY130" s="98"/>
      <c r="SCZ130" s="98"/>
      <c r="SDA130" s="98"/>
      <c r="SDB130" s="98"/>
      <c r="SDC130" s="98"/>
      <c r="SDD130" s="98"/>
      <c r="SDE130" s="98"/>
      <c r="SDF130" s="98"/>
      <c r="SDG130" s="98"/>
      <c r="SDH130" s="98"/>
      <c r="SDI130" s="98"/>
      <c r="SDJ130" s="98"/>
      <c r="SDK130" s="98"/>
      <c r="SDL130" s="98"/>
      <c r="SDM130" s="98"/>
      <c r="SDN130" s="98"/>
      <c r="SDO130" s="98"/>
      <c r="SDP130" s="98"/>
      <c r="SDQ130" s="98"/>
      <c r="SDR130" s="98"/>
      <c r="SDS130" s="98"/>
      <c r="SDT130" s="98"/>
      <c r="SDU130" s="98"/>
      <c r="SDV130" s="98"/>
      <c r="SDW130" s="98"/>
      <c r="SDX130" s="98"/>
      <c r="SDY130" s="98"/>
      <c r="SDZ130" s="98"/>
      <c r="SEA130" s="98"/>
      <c r="SEB130" s="98"/>
      <c r="SEC130" s="98"/>
      <c r="SED130" s="98"/>
      <c r="SEE130" s="98"/>
      <c r="SEF130" s="98"/>
      <c r="SEG130" s="98"/>
      <c r="SEH130" s="98"/>
      <c r="SEI130" s="98"/>
      <c r="SEJ130" s="98"/>
      <c r="SEK130" s="98"/>
      <c r="SEL130" s="98"/>
      <c r="SEM130" s="98"/>
      <c r="SEN130" s="98"/>
      <c r="SEO130" s="98"/>
      <c r="SEP130" s="98"/>
      <c r="SEQ130" s="98"/>
      <c r="SER130" s="98"/>
      <c r="SES130" s="98"/>
      <c r="SET130" s="98"/>
      <c r="SEU130" s="98"/>
      <c r="SEV130" s="98"/>
      <c r="SEW130" s="98"/>
      <c r="SEX130" s="98"/>
      <c r="SEY130" s="98"/>
      <c r="SEZ130" s="98"/>
      <c r="SFA130" s="98"/>
      <c r="SFB130" s="98"/>
      <c r="SFC130" s="98"/>
      <c r="SFD130" s="98"/>
      <c r="SFE130" s="98"/>
      <c r="SFF130" s="98"/>
      <c r="SFG130" s="98"/>
      <c r="SFH130" s="98"/>
      <c r="SFI130" s="98"/>
      <c r="SFJ130" s="98"/>
      <c r="SFK130" s="98"/>
      <c r="SFL130" s="98"/>
      <c r="SFM130" s="98"/>
      <c r="SFN130" s="98"/>
      <c r="SFO130" s="98"/>
      <c r="SFP130" s="98"/>
      <c r="SFQ130" s="98"/>
      <c r="SFR130" s="98"/>
      <c r="SFS130" s="98"/>
      <c r="SFT130" s="98"/>
      <c r="SFU130" s="98"/>
      <c r="SFV130" s="98"/>
      <c r="SFW130" s="98"/>
      <c r="SFX130" s="98"/>
      <c r="SFY130" s="98"/>
      <c r="SFZ130" s="98"/>
      <c r="SGA130" s="98"/>
      <c r="SGB130" s="98"/>
      <c r="SGC130" s="98"/>
      <c r="SGD130" s="98"/>
      <c r="SGE130" s="98"/>
      <c r="SGF130" s="98"/>
      <c r="SGG130" s="98"/>
      <c r="SGH130" s="98"/>
      <c r="SGI130" s="98"/>
      <c r="SGJ130" s="98"/>
      <c r="SGK130" s="98"/>
      <c r="SGL130" s="98"/>
      <c r="SGM130" s="98"/>
      <c r="SGN130" s="98"/>
      <c r="SGO130" s="98"/>
      <c r="SGP130" s="98"/>
      <c r="SGQ130" s="98"/>
      <c r="SGR130" s="98"/>
      <c r="SGS130" s="98"/>
      <c r="SGT130" s="98"/>
      <c r="SGU130" s="98"/>
      <c r="SGV130" s="98"/>
      <c r="SGW130" s="98"/>
      <c r="SGX130" s="98"/>
      <c r="SGY130" s="98"/>
      <c r="SGZ130" s="98"/>
      <c r="SHA130" s="98"/>
      <c r="SHB130" s="98"/>
      <c r="SHC130" s="98"/>
      <c r="SHD130" s="98"/>
      <c r="SHE130" s="98"/>
      <c r="SHF130" s="98"/>
      <c r="SHG130" s="98"/>
      <c r="SHH130" s="98"/>
      <c r="SHI130" s="98"/>
      <c r="SHJ130" s="98"/>
      <c r="SHK130" s="98"/>
      <c r="SHL130" s="98"/>
      <c r="SHM130" s="98"/>
      <c r="SHN130" s="98"/>
      <c r="SHO130" s="98"/>
      <c r="SHP130" s="98"/>
      <c r="SHQ130" s="98"/>
      <c r="SHR130" s="98"/>
      <c r="SHS130" s="98"/>
      <c r="SHT130" s="98"/>
      <c r="SHU130" s="98"/>
      <c r="SHV130" s="98"/>
      <c r="SHW130" s="98"/>
      <c r="SHX130" s="98"/>
      <c r="SHY130" s="98"/>
      <c r="SHZ130" s="98"/>
      <c r="SIA130" s="98"/>
      <c r="SIB130" s="98"/>
      <c r="SIC130" s="98"/>
      <c r="SID130" s="98"/>
      <c r="SIE130" s="98"/>
      <c r="SIF130" s="98"/>
      <c r="SIG130" s="98"/>
      <c r="SIH130" s="98"/>
      <c r="SII130" s="98"/>
      <c r="SIJ130" s="98"/>
      <c r="SIK130" s="98"/>
      <c r="SIL130" s="98"/>
      <c r="SIM130" s="98"/>
      <c r="SIN130" s="98"/>
      <c r="SIO130" s="98"/>
      <c r="SIP130" s="98"/>
      <c r="SIQ130" s="98"/>
      <c r="SIR130" s="98"/>
      <c r="SIS130" s="98"/>
      <c r="SIT130" s="98"/>
      <c r="SIU130" s="98"/>
      <c r="SIV130" s="98"/>
      <c r="SIW130" s="98"/>
      <c r="SIX130" s="98"/>
      <c r="SIY130" s="98"/>
      <c r="SIZ130" s="98"/>
      <c r="SJA130" s="98"/>
      <c r="SJB130" s="98"/>
      <c r="SJC130" s="98"/>
      <c r="SJD130" s="98"/>
      <c r="SJE130" s="98"/>
      <c r="SJF130" s="98"/>
      <c r="SJG130" s="98"/>
      <c r="SJH130" s="98"/>
      <c r="SJI130" s="98"/>
      <c r="SJJ130" s="98"/>
      <c r="SJK130" s="98"/>
      <c r="SJL130" s="98"/>
      <c r="SJM130" s="98"/>
      <c r="SJN130" s="98"/>
      <c r="SJO130" s="98"/>
      <c r="SJP130" s="98"/>
      <c r="SJQ130" s="98"/>
      <c r="SJR130" s="98"/>
      <c r="SJS130" s="98"/>
      <c r="SJT130" s="98"/>
      <c r="SJU130" s="98"/>
      <c r="SJV130" s="98"/>
      <c r="SJW130" s="98"/>
      <c r="SJX130" s="98"/>
      <c r="SJY130" s="98"/>
      <c r="SJZ130" s="98"/>
      <c r="SKA130" s="98"/>
      <c r="SKB130" s="98"/>
      <c r="SKC130" s="98"/>
      <c r="SKD130" s="98"/>
      <c r="SKE130" s="98"/>
      <c r="SKF130" s="98"/>
      <c r="SKG130" s="98"/>
      <c r="SKH130" s="98"/>
      <c r="SKI130" s="98"/>
      <c r="SKJ130" s="98"/>
      <c r="SKK130" s="98"/>
      <c r="SKL130" s="98"/>
      <c r="SKM130" s="98"/>
      <c r="SKN130" s="98"/>
      <c r="SKO130" s="98"/>
      <c r="SKP130" s="98"/>
      <c r="SKQ130" s="98"/>
      <c r="SKR130" s="98"/>
      <c r="SKS130" s="98"/>
      <c r="SKT130" s="98"/>
      <c r="SKU130" s="98"/>
      <c r="SKV130" s="98"/>
      <c r="SKW130" s="98"/>
      <c r="SKX130" s="98"/>
      <c r="SKY130" s="98"/>
      <c r="SKZ130" s="98"/>
      <c r="SLA130" s="98"/>
      <c r="SLB130" s="98"/>
      <c r="SLC130" s="98"/>
      <c r="SLD130" s="98"/>
      <c r="SLE130" s="98"/>
      <c r="SLF130" s="98"/>
      <c r="SLG130" s="98"/>
      <c r="SLH130" s="98"/>
      <c r="SLI130" s="98"/>
      <c r="SLJ130" s="98"/>
      <c r="SLK130" s="98"/>
      <c r="SLL130" s="98"/>
      <c r="SLM130" s="98"/>
      <c r="SLN130" s="98"/>
      <c r="SLO130" s="98"/>
      <c r="SLP130" s="98"/>
      <c r="SLQ130" s="98"/>
      <c r="SLR130" s="98"/>
      <c r="SLS130" s="98"/>
      <c r="SLT130" s="98"/>
      <c r="SLU130" s="98"/>
      <c r="SLV130" s="98"/>
      <c r="SLW130" s="98"/>
      <c r="SLX130" s="98"/>
      <c r="SLY130" s="98"/>
      <c r="SLZ130" s="98"/>
      <c r="SMA130" s="98"/>
      <c r="SMB130" s="98"/>
      <c r="SMC130" s="98"/>
      <c r="SMD130" s="98"/>
      <c r="SME130" s="98"/>
      <c r="SMF130" s="98"/>
      <c r="SMG130" s="98"/>
      <c r="SMH130" s="98"/>
      <c r="SMI130" s="98"/>
      <c r="SMJ130" s="98"/>
      <c r="SMK130" s="98"/>
      <c r="SML130" s="98"/>
      <c r="SMM130" s="98"/>
      <c r="SMN130" s="98"/>
      <c r="SMO130" s="98"/>
      <c r="SMP130" s="98"/>
      <c r="SMQ130" s="98"/>
      <c r="SMR130" s="98"/>
      <c r="SMS130" s="98"/>
      <c r="SMT130" s="98"/>
      <c r="SMU130" s="98"/>
      <c r="SMV130" s="98"/>
      <c r="SMW130" s="98"/>
      <c r="SMX130" s="98"/>
      <c r="SMY130" s="98"/>
      <c r="SMZ130" s="98"/>
      <c r="SNA130" s="98"/>
      <c r="SNB130" s="98"/>
      <c r="SNC130" s="98"/>
      <c r="SND130" s="98"/>
      <c r="SNE130" s="98"/>
      <c r="SNF130" s="98"/>
      <c r="SNG130" s="98"/>
      <c r="SNH130" s="98"/>
      <c r="SNI130" s="98"/>
      <c r="SNJ130" s="98"/>
      <c r="SNK130" s="98"/>
      <c r="SNL130" s="98"/>
      <c r="SNM130" s="98"/>
      <c r="SNN130" s="98"/>
      <c r="SNO130" s="98"/>
      <c r="SNP130" s="98"/>
      <c r="SNQ130" s="98"/>
      <c r="SNR130" s="98"/>
      <c r="SNS130" s="98"/>
      <c r="SNT130" s="98"/>
      <c r="SNU130" s="98"/>
      <c r="SNV130" s="98"/>
      <c r="SNW130" s="98"/>
      <c r="SNX130" s="98"/>
      <c r="SNY130" s="98"/>
      <c r="SNZ130" s="98"/>
      <c r="SOA130" s="98"/>
      <c r="SOB130" s="98"/>
      <c r="SOC130" s="98"/>
      <c r="SOD130" s="98"/>
      <c r="SOE130" s="98"/>
      <c r="SOF130" s="98"/>
      <c r="SOG130" s="98"/>
      <c r="SOH130" s="98"/>
      <c r="SOI130" s="98"/>
      <c r="SOJ130" s="98"/>
      <c r="SOK130" s="98"/>
      <c r="SOL130" s="98"/>
      <c r="SOM130" s="98"/>
      <c r="SON130" s="98"/>
      <c r="SOO130" s="98"/>
      <c r="SOP130" s="98"/>
      <c r="SOQ130" s="98"/>
      <c r="SOR130" s="98"/>
      <c r="SOS130" s="98"/>
      <c r="SOT130" s="98"/>
      <c r="SOU130" s="98"/>
      <c r="SOV130" s="98"/>
      <c r="SOW130" s="98"/>
      <c r="SOX130" s="98"/>
      <c r="SOY130" s="98"/>
      <c r="SOZ130" s="98"/>
      <c r="SPA130" s="98"/>
      <c r="SPB130" s="98"/>
      <c r="SPC130" s="98"/>
      <c r="SPD130" s="98"/>
      <c r="SPE130" s="98"/>
      <c r="SPF130" s="98"/>
      <c r="SPG130" s="98"/>
      <c r="SPH130" s="98"/>
      <c r="SPI130" s="98"/>
      <c r="SPJ130" s="98"/>
      <c r="SPK130" s="98"/>
      <c r="SPL130" s="98"/>
      <c r="SPM130" s="98"/>
      <c r="SPN130" s="98"/>
      <c r="SPO130" s="98"/>
      <c r="SPP130" s="98"/>
      <c r="SPQ130" s="98"/>
      <c r="SPR130" s="98"/>
      <c r="SPS130" s="98"/>
      <c r="SPT130" s="98"/>
      <c r="SPU130" s="98"/>
      <c r="SPV130" s="98"/>
      <c r="SPW130" s="98"/>
      <c r="SPX130" s="98"/>
      <c r="SPY130" s="98"/>
      <c r="SPZ130" s="98"/>
      <c r="SQA130" s="98"/>
      <c r="SQB130" s="98"/>
      <c r="SQC130" s="98"/>
      <c r="SQD130" s="98"/>
      <c r="SQE130" s="98"/>
      <c r="SQF130" s="98"/>
      <c r="SQG130" s="98"/>
      <c r="SQH130" s="98"/>
      <c r="SQI130" s="98"/>
      <c r="SQJ130" s="98"/>
      <c r="SQK130" s="98"/>
      <c r="SQL130" s="98"/>
      <c r="SQM130" s="98"/>
      <c r="SQN130" s="98"/>
      <c r="SQO130" s="98"/>
      <c r="SQP130" s="98"/>
      <c r="SQQ130" s="98"/>
      <c r="SQR130" s="98"/>
      <c r="SQS130" s="98"/>
      <c r="SQT130" s="98"/>
      <c r="SQU130" s="98"/>
      <c r="SQV130" s="98"/>
      <c r="SQW130" s="98"/>
      <c r="SQX130" s="98"/>
      <c r="SQY130" s="98"/>
      <c r="SQZ130" s="98"/>
      <c r="SRA130" s="98"/>
      <c r="SRB130" s="98"/>
      <c r="SRC130" s="98"/>
      <c r="SRD130" s="98"/>
      <c r="SRE130" s="98"/>
      <c r="SRF130" s="98"/>
      <c r="SRG130" s="98"/>
      <c r="SRH130" s="98"/>
      <c r="SRI130" s="98"/>
      <c r="SRJ130" s="98"/>
      <c r="SRK130" s="98"/>
      <c r="SRL130" s="98"/>
      <c r="SRM130" s="98"/>
      <c r="SRN130" s="98"/>
      <c r="SRO130" s="98"/>
      <c r="SRP130" s="98"/>
      <c r="SRQ130" s="98"/>
      <c r="SRR130" s="98"/>
      <c r="SRS130" s="98"/>
      <c r="SRT130" s="98"/>
      <c r="SRU130" s="98"/>
      <c r="SRV130" s="98"/>
      <c r="SRW130" s="98"/>
      <c r="SRX130" s="98"/>
      <c r="SRY130" s="98"/>
      <c r="SRZ130" s="98"/>
      <c r="SSA130" s="98"/>
      <c r="SSB130" s="98"/>
      <c r="SSC130" s="98"/>
      <c r="SSD130" s="98"/>
      <c r="SSE130" s="98"/>
      <c r="SSF130" s="98"/>
      <c r="SSG130" s="98"/>
      <c r="SSH130" s="98"/>
      <c r="SSI130" s="98"/>
      <c r="SSJ130" s="98"/>
      <c r="SSK130" s="98"/>
      <c r="SSL130" s="98"/>
      <c r="SSM130" s="98"/>
      <c r="SSN130" s="98"/>
      <c r="SSO130" s="98"/>
      <c r="SSP130" s="98"/>
      <c r="SSQ130" s="98"/>
      <c r="SSR130" s="98"/>
      <c r="SSS130" s="98"/>
      <c r="SST130" s="98"/>
      <c r="SSU130" s="98"/>
      <c r="SSV130" s="98"/>
      <c r="SSW130" s="98"/>
      <c r="SSX130" s="98"/>
      <c r="SSY130" s="98"/>
      <c r="SSZ130" s="98"/>
      <c r="STA130" s="98"/>
      <c r="STB130" s="98"/>
      <c r="STC130" s="98"/>
      <c r="STD130" s="98"/>
      <c r="STE130" s="98"/>
      <c r="STF130" s="98"/>
      <c r="STG130" s="98"/>
      <c r="STH130" s="98"/>
      <c r="STI130" s="98"/>
      <c r="STJ130" s="98"/>
      <c r="STK130" s="98"/>
      <c r="STL130" s="98"/>
      <c r="STM130" s="98"/>
      <c r="STN130" s="98"/>
      <c r="STO130" s="98"/>
      <c r="STP130" s="98"/>
      <c r="STQ130" s="98"/>
      <c r="STR130" s="98"/>
      <c r="STS130" s="98"/>
      <c r="STT130" s="98"/>
      <c r="STU130" s="98"/>
      <c r="STV130" s="98"/>
      <c r="STW130" s="98"/>
      <c r="STX130" s="98"/>
      <c r="STY130" s="98"/>
      <c r="STZ130" s="98"/>
      <c r="SUA130" s="98"/>
      <c r="SUB130" s="98"/>
      <c r="SUC130" s="98"/>
      <c r="SUD130" s="98"/>
      <c r="SUE130" s="98"/>
      <c r="SUF130" s="98"/>
      <c r="SUG130" s="98"/>
      <c r="SUH130" s="98"/>
      <c r="SUI130" s="98"/>
      <c r="SUJ130" s="98"/>
      <c r="SUK130" s="98"/>
      <c r="SUL130" s="98"/>
      <c r="SUM130" s="98"/>
      <c r="SUN130" s="98"/>
      <c r="SUO130" s="98"/>
      <c r="SUP130" s="98"/>
      <c r="SUQ130" s="98"/>
      <c r="SUR130" s="98"/>
      <c r="SUS130" s="98"/>
      <c r="SUT130" s="98"/>
      <c r="SUU130" s="98"/>
      <c r="SUV130" s="98"/>
      <c r="SUW130" s="98"/>
      <c r="SUX130" s="98"/>
      <c r="SUY130" s="98"/>
      <c r="SUZ130" s="98"/>
      <c r="SVA130" s="98"/>
      <c r="SVB130" s="98"/>
      <c r="SVC130" s="98"/>
      <c r="SVD130" s="98"/>
      <c r="SVE130" s="98"/>
      <c r="SVF130" s="98"/>
      <c r="SVG130" s="98"/>
      <c r="SVH130" s="98"/>
      <c r="SVI130" s="98"/>
      <c r="SVJ130" s="98"/>
      <c r="SVK130" s="98"/>
      <c r="SVL130" s="98"/>
      <c r="SVM130" s="98"/>
      <c r="SVN130" s="98"/>
      <c r="SVO130" s="98"/>
      <c r="SVP130" s="98"/>
      <c r="SVQ130" s="98"/>
      <c r="SVR130" s="98"/>
      <c r="SVS130" s="98"/>
      <c r="SVT130" s="98"/>
      <c r="SVU130" s="98"/>
      <c r="SVV130" s="98"/>
      <c r="SVW130" s="98"/>
      <c r="SVX130" s="98"/>
      <c r="SVY130" s="98"/>
      <c r="SVZ130" s="98"/>
      <c r="SWA130" s="98"/>
      <c r="SWB130" s="98"/>
      <c r="SWC130" s="98"/>
      <c r="SWD130" s="98"/>
      <c r="SWE130" s="98"/>
      <c r="SWF130" s="98"/>
      <c r="SWG130" s="98"/>
      <c r="SWH130" s="98"/>
      <c r="SWI130" s="98"/>
      <c r="SWJ130" s="98"/>
      <c r="SWK130" s="98"/>
      <c r="SWL130" s="98"/>
      <c r="SWM130" s="98"/>
      <c r="SWN130" s="98"/>
      <c r="SWO130" s="98"/>
      <c r="SWP130" s="98"/>
      <c r="SWQ130" s="98"/>
      <c r="SWR130" s="98"/>
      <c r="SWS130" s="98"/>
      <c r="SWT130" s="98"/>
      <c r="SWU130" s="98"/>
      <c r="SWV130" s="98"/>
      <c r="SWW130" s="98"/>
      <c r="SWX130" s="98"/>
      <c r="SWY130" s="98"/>
      <c r="SWZ130" s="98"/>
      <c r="SXA130" s="98"/>
      <c r="SXB130" s="98"/>
      <c r="SXC130" s="98"/>
      <c r="SXD130" s="98"/>
      <c r="SXE130" s="98"/>
      <c r="SXF130" s="98"/>
      <c r="SXG130" s="98"/>
      <c r="SXH130" s="98"/>
      <c r="SXI130" s="98"/>
      <c r="SXJ130" s="98"/>
      <c r="SXK130" s="98"/>
      <c r="SXL130" s="98"/>
      <c r="SXM130" s="98"/>
      <c r="SXN130" s="98"/>
      <c r="SXO130" s="98"/>
      <c r="SXP130" s="98"/>
      <c r="SXQ130" s="98"/>
      <c r="SXR130" s="98"/>
      <c r="SXS130" s="98"/>
      <c r="SXT130" s="98"/>
      <c r="SXU130" s="98"/>
      <c r="SXV130" s="98"/>
      <c r="SXW130" s="98"/>
      <c r="SXX130" s="98"/>
      <c r="SXY130" s="98"/>
      <c r="SXZ130" s="98"/>
      <c r="SYA130" s="98"/>
      <c r="SYB130" s="98"/>
      <c r="SYC130" s="98"/>
      <c r="SYD130" s="98"/>
      <c r="SYE130" s="98"/>
      <c r="SYF130" s="98"/>
      <c r="SYG130" s="98"/>
      <c r="SYH130" s="98"/>
      <c r="SYI130" s="98"/>
      <c r="SYJ130" s="98"/>
      <c r="SYK130" s="98"/>
      <c r="SYL130" s="98"/>
      <c r="SYM130" s="98"/>
      <c r="SYN130" s="98"/>
      <c r="SYO130" s="98"/>
      <c r="SYP130" s="98"/>
      <c r="SYQ130" s="98"/>
      <c r="SYR130" s="98"/>
      <c r="SYS130" s="98"/>
      <c r="SYT130" s="98"/>
      <c r="SYU130" s="98"/>
      <c r="SYV130" s="98"/>
      <c r="SYW130" s="98"/>
      <c r="SYX130" s="98"/>
      <c r="SYY130" s="98"/>
      <c r="SYZ130" s="98"/>
      <c r="SZA130" s="98"/>
      <c r="SZB130" s="98"/>
      <c r="SZC130" s="98"/>
      <c r="SZD130" s="98"/>
      <c r="SZE130" s="98"/>
      <c r="SZF130" s="98"/>
      <c r="SZG130" s="98"/>
      <c r="SZH130" s="98"/>
      <c r="SZI130" s="98"/>
      <c r="SZJ130" s="98"/>
      <c r="SZK130" s="98"/>
      <c r="SZL130" s="98"/>
      <c r="SZM130" s="98"/>
      <c r="SZN130" s="98"/>
      <c r="SZO130" s="98"/>
      <c r="SZP130" s="98"/>
      <c r="SZQ130" s="98"/>
      <c r="SZR130" s="98"/>
      <c r="SZS130" s="98"/>
      <c r="SZT130" s="98"/>
      <c r="SZU130" s="98"/>
      <c r="SZV130" s="98"/>
      <c r="SZW130" s="98"/>
      <c r="SZX130" s="98"/>
      <c r="SZY130" s="98"/>
      <c r="SZZ130" s="98"/>
      <c r="TAA130" s="98"/>
      <c r="TAB130" s="98"/>
      <c r="TAC130" s="98"/>
      <c r="TAD130" s="98"/>
      <c r="TAE130" s="98"/>
      <c r="TAF130" s="98"/>
      <c r="TAG130" s="98"/>
      <c r="TAH130" s="98"/>
      <c r="TAI130" s="98"/>
      <c r="TAJ130" s="98"/>
      <c r="TAK130" s="98"/>
      <c r="TAL130" s="98"/>
      <c r="TAM130" s="98"/>
      <c r="TAN130" s="98"/>
      <c r="TAO130" s="98"/>
      <c r="TAP130" s="98"/>
      <c r="TAQ130" s="98"/>
      <c r="TAR130" s="98"/>
      <c r="TAS130" s="98"/>
      <c r="TAT130" s="98"/>
      <c r="TAU130" s="98"/>
      <c r="TAV130" s="98"/>
      <c r="TAW130" s="98"/>
      <c r="TAX130" s="98"/>
      <c r="TAY130" s="98"/>
      <c r="TAZ130" s="98"/>
      <c r="TBA130" s="98"/>
      <c r="TBB130" s="98"/>
      <c r="TBC130" s="98"/>
      <c r="TBD130" s="98"/>
      <c r="TBE130" s="98"/>
      <c r="TBF130" s="98"/>
      <c r="TBG130" s="98"/>
      <c r="TBH130" s="98"/>
      <c r="TBI130" s="98"/>
      <c r="TBJ130" s="98"/>
      <c r="TBK130" s="98"/>
      <c r="TBL130" s="98"/>
      <c r="TBM130" s="98"/>
      <c r="TBN130" s="98"/>
      <c r="TBO130" s="98"/>
      <c r="TBP130" s="98"/>
      <c r="TBQ130" s="98"/>
      <c r="TBR130" s="98"/>
      <c r="TBS130" s="98"/>
      <c r="TBT130" s="98"/>
      <c r="TBU130" s="98"/>
      <c r="TBV130" s="98"/>
      <c r="TBW130" s="98"/>
      <c r="TBX130" s="98"/>
      <c r="TBY130" s="98"/>
      <c r="TBZ130" s="98"/>
      <c r="TCA130" s="98"/>
      <c r="TCB130" s="98"/>
      <c r="TCC130" s="98"/>
      <c r="TCD130" s="98"/>
      <c r="TCE130" s="98"/>
      <c r="TCF130" s="98"/>
      <c r="TCG130" s="98"/>
      <c r="TCH130" s="98"/>
      <c r="TCI130" s="98"/>
      <c r="TCJ130" s="98"/>
      <c r="TCK130" s="98"/>
      <c r="TCL130" s="98"/>
      <c r="TCM130" s="98"/>
      <c r="TCN130" s="98"/>
      <c r="TCO130" s="98"/>
      <c r="TCP130" s="98"/>
      <c r="TCQ130" s="98"/>
      <c r="TCR130" s="98"/>
      <c r="TCS130" s="98"/>
      <c r="TCT130" s="98"/>
      <c r="TCU130" s="98"/>
      <c r="TCV130" s="98"/>
      <c r="TCW130" s="98"/>
      <c r="TCX130" s="98"/>
      <c r="TCY130" s="98"/>
      <c r="TCZ130" s="98"/>
      <c r="TDA130" s="98"/>
      <c r="TDB130" s="98"/>
      <c r="TDC130" s="98"/>
      <c r="TDD130" s="98"/>
      <c r="TDE130" s="98"/>
      <c r="TDF130" s="98"/>
      <c r="TDG130" s="98"/>
      <c r="TDH130" s="98"/>
      <c r="TDI130" s="98"/>
      <c r="TDJ130" s="98"/>
      <c r="TDK130" s="98"/>
      <c r="TDL130" s="98"/>
      <c r="TDM130" s="98"/>
      <c r="TDN130" s="98"/>
      <c r="TDO130" s="98"/>
      <c r="TDP130" s="98"/>
      <c r="TDQ130" s="98"/>
      <c r="TDR130" s="98"/>
      <c r="TDS130" s="98"/>
      <c r="TDT130" s="98"/>
      <c r="TDU130" s="98"/>
      <c r="TDV130" s="98"/>
      <c r="TDW130" s="98"/>
      <c r="TDX130" s="98"/>
      <c r="TDY130" s="98"/>
      <c r="TDZ130" s="98"/>
      <c r="TEA130" s="98"/>
      <c r="TEB130" s="98"/>
      <c r="TEC130" s="98"/>
      <c r="TED130" s="98"/>
      <c r="TEE130" s="98"/>
      <c r="TEF130" s="98"/>
      <c r="TEG130" s="98"/>
      <c r="TEH130" s="98"/>
      <c r="TEI130" s="98"/>
      <c r="TEJ130" s="98"/>
      <c r="TEK130" s="98"/>
      <c r="TEL130" s="98"/>
      <c r="TEM130" s="98"/>
      <c r="TEN130" s="98"/>
      <c r="TEO130" s="98"/>
      <c r="TEP130" s="98"/>
      <c r="TEQ130" s="98"/>
      <c r="TER130" s="98"/>
      <c r="TES130" s="98"/>
      <c r="TET130" s="98"/>
      <c r="TEU130" s="98"/>
      <c r="TEV130" s="98"/>
      <c r="TEW130" s="98"/>
      <c r="TEX130" s="98"/>
      <c r="TEY130" s="98"/>
      <c r="TEZ130" s="98"/>
      <c r="TFA130" s="98"/>
      <c r="TFB130" s="98"/>
      <c r="TFC130" s="98"/>
      <c r="TFD130" s="98"/>
      <c r="TFE130" s="98"/>
      <c r="TFF130" s="98"/>
      <c r="TFG130" s="98"/>
      <c r="TFH130" s="98"/>
      <c r="TFI130" s="98"/>
      <c r="TFJ130" s="98"/>
      <c r="TFK130" s="98"/>
      <c r="TFL130" s="98"/>
      <c r="TFM130" s="98"/>
      <c r="TFN130" s="98"/>
      <c r="TFO130" s="98"/>
      <c r="TFP130" s="98"/>
      <c r="TFQ130" s="98"/>
      <c r="TFR130" s="98"/>
      <c r="TFS130" s="98"/>
      <c r="TFT130" s="98"/>
      <c r="TFU130" s="98"/>
      <c r="TFV130" s="98"/>
      <c r="TFW130" s="98"/>
      <c r="TFX130" s="98"/>
      <c r="TFY130" s="98"/>
      <c r="TFZ130" s="98"/>
      <c r="TGA130" s="98"/>
      <c r="TGB130" s="98"/>
      <c r="TGC130" s="98"/>
      <c r="TGD130" s="98"/>
      <c r="TGE130" s="98"/>
      <c r="TGF130" s="98"/>
      <c r="TGG130" s="98"/>
      <c r="TGH130" s="98"/>
      <c r="TGI130" s="98"/>
      <c r="TGJ130" s="98"/>
      <c r="TGK130" s="98"/>
      <c r="TGL130" s="98"/>
      <c r="TGM130" s="98"/>
      <c r="TGN130" s="98"/>
      <c r="TGO130" s="98"/>
      <c r="TGP130" s="98"/>
      <c r="TGQ130" s="98"/>
      <c r="TGR130" s="98"/>
      <c r="TGS130" s="98"/>
      <c r="TGT130" s="98"/>
      <c r="TGU130" s="98"/>
      <c r="TGV130" s="98"/>
      <c r="TGW130" s="98"/>
      <c r="TGX130" s="98"/>
      <c r="TGY130" s="98"/>
      <c r="TGZ130" s="98"/>
      <c r="THA130" s="98"/>
      <c r="THB130" s="98"/>
      <c r="THC130" s="98"/>
      <c r="THD130" s="98"/>
      <c r="THE130" s="98"/>
      <c r="THF130" s="98"/>
      <c r="THG130" s="98"/>
      <c r="THH130" s="98"/>
      <c r="THI130" s="98"/>
      <c r="THJ130" s="98"/>
      <c r="THK130" s="98"/>
      <c r="THL130" s="98"/>
      <c r="THM130" s="98"/>
      <c r="THN130" s="98"/>
      <c r="THO130" s="98"/>
      <c r="THP130" s="98"/>
      <c r="THQ130" s="98"/>
      <c r="THR130" s="98"/>
      <c r="THS130" s="98"/>
      <c r="THT130" s="98"/>
      <c r="THU130" s="98"/>
      <c r="THV130" s="98"/>
      <c r="THW130" s="98"/>
      <c r="THX130" s="98"/>
      <c r="THY130" s="98"/>
      <c r="THZ130" s="98"/>
      <c r="TIA130" s="98"/>
      <c r="TIB130" s="98"/>
      <c r="TIC130" s="98"/>
      <c r="TID130" s="98"/>
      <c r="TIE130" s="98"/>
      <c r="TIF130" s="98"/>
      <c r="TIG130" s="98"/>
      <c r="TIH130" s="98"/>
      <c r="TII130" s="98"/>
      <c r="TIJ130" s="98"/>
      <c r="TIK130" s="98"/>
      <c r="TIL130" s="98"/>
      <c r="TIM130" s="98"/>
      <c r="TIN130" s="98"/>
      <c r="TIO130" s="98"/>
      <c r="TIP130" s="98"/>
      <c r="TIQ130" s="98"/>
      <c r="TIR130" s="98"/>
      <c r="TIS130" s="98"/>
      <c r="TIT130" s="98"/>
      <c r="TIU130" s="98"/>
      <c r="TIV130" s="98"/>
      <c r="TIW130" s="98"/>
      <c r="TIX130" s="98"/>
      <c r="TIY130" s="98"/>
      <c r="TIZ130" s="98"/>
      <c r="TJA130" s="98"/>
      <c r="TJB130" s="98"/>
      <c r="TJC130" s="98"/>
      <c r="TJD130" s="98"/>
      <c r="TJE130" s="98"/>
      <c r="TJF130" s="98"/>
      <c r="TJG130" s="98"/>
      <c r="TJH130" s="98"/>
      <c r="TJI130" s="98"/>
      <c r="TJJ130" s="98"/>
      <c r="TJK130" s="98"/>
      <c r="TJL130" s="98"/>
      <c r="TJM130" s="98"/>
      <c r="TJN130" s="98"/>
      <c r="TJO130" s="98"/>
      <c r="TJP130" s="98"/>
      <c r="TJQ130" s="98"/>
      <c r="TJR130" s="98"/>
      <c r="TJS130" s="98"/>
      <c r="TJT130" s="98"/>
      <c r="TJU130" s="98"/>
      <c r="TJV130" s="98"/>
      <c r="TJW130" s="98"/>
      <c r="TJX130" s="98"/>
      <c r="TJY130" s="98"/>
      <c r="TJZ130" s="98"/>
      <c r="TKA130" s="98"/>
      <c r="TKB130" s="98"/>
      <c r="TKC130" s="98"/>
      <c r="TKD130" s="98"/>
      <c r="TKE130" s="98"/>
      <c r="TKF130" s="98"/>
      <c r="TKG130" s="98"/>
      <c r="TKH130" s="98"/>
      <c r="TKI130" s="98"/>
      <c r="TKJ130" s="98"/>
      <c r="TKK130" s="98"/>
      <c r="TKL130" s="98"/>
      <c r="TKM130" s="98"/>
      <c r="TKN130" s="98"/>
      <c r="TKO130" s="98"/>
      <c r="TKP130" s="98"/>
      <c r="TKQ130" s="98"/>
      <c r="TKR130" s="98"/>
      <c r="TKS130" s="98"/>
      <c r="TKT130" s="98"/>
      <c r="TKU130" s="98"/>
      <c r="TKV130" s="98"/>
      <c r="TKW130" s="98"/>
      <c r="TKX130" s="98"/>
      <c r="TKY130" s="98"/>
      <c r="TKZ130" s="98"/>
      <c r="TLA130" s="98"/>
      <c r="TLB130" s="98"/>
      <c r="TLC130" s="98"/>
      <c r="TLD130" s="98"/>
      <c r="TLE130" s="98"/>
      <c r="TLF130" s="98"/>
      <c r="TLG130" s="98"/>
      <c r="TLH130" s="98"/>
      <c r="TLI130" s="98"/>
      <c r="TLJ130" s="98"/>
      <c r="TLK130" s="98"/>
      <c r="TLL130" s="98"/>
      <c r="TLM130" s="98"/>
      <c r="TLN130" s="98"/>
      <c r="TLO130" s="98"/>
      <c r="TLP130" s="98"/>
      <c r="TLQ130" s="98"/>
      <c r="TLR130" s="98"/>
      <c r="TLS130" s="98"/>
      <c r="TLT130" s="98"/>
      <c r="TLU130" s="98"/>
      <c r="TLV130" s="98"/>
      <c r="TLW130" s="98"/>
      <c r="TLX130" s="98"/>
      <c r="TLY130" s="98"/>
      <c r="TLZ130" s="98"/>
      <c r="TMA130" s="98"/>
      <c r="TMB130" s="98"/>
      <c r="TMC130" s="98"/>
      <c r="TMD130" s="98"/>
      <c r="TME130" s="98"/>
      <c r="TMF130" s="98"/>
      <c r="TMG130" s="98"/>
      <c r="TMH130" s="98"/>
      <c r="TMI130" s="98"/>
      <c r="TMJ130" s="98"/>
      <c r="TMK130" s="98"/>
      <c r="TML130" s="98"/>
      <c r="TMM130" s="98"/>
      <c r="TMN130" s="98"/>
      <c r="TMO130" s="98"/>
      <c r="TMP130" s="98"/>
      <c r="TMQ130" s="98"/>
      <c r="TMR130" s="98"/>
      <c r="TMS130" s="98"/>
      <c r="TMT130" s="98"/>
      <c r="TMU130" s="98"/>
      <c r="TMV130" s="98"/>
      <c r="TMW130" s="98"/>
      <c r="TMX130" s="98"/>
      <c r="TMY130" s="98"/>
      <c r="TMZ130" s="98"/>
      <c r="TNA130" s="98"/>
      <c r="TNB130" s="98"/>
      <c r="TNC130" s="98"/>
      <c r="TND130" s="98"/>
      <c r="TNE130" s="98"/>
      <c r="TNF130" s="98"/>
      <c r="TNG130" s="98"/>
      <c r="TNH130" s="98"/>
      <c r="TNI130" s="98"/>
      <c r="TNJ130" s="98"/>
      <c r="TNK130" s="98"/>
      <c r="TNL130" s="98"/>
      <c r="TNM130" s="98"/>
      <c r="TNN130" s="98"/>
      <c r="TNO130" s="98"/>
      <c r="TNP130" s="98"/>
      <c r="TNQ130" s="98"/>
      <c r="TNR130" s="98"/>
      <c r="TNS130" s="98"/>
      <c r="TNT130" s="98"/>
      <c r="TNU130" s="98"/>
      <c r="TNV130" s="98"/>
      <c r="TNW130" s="98"/>
      <c r="TNX130" s="98"/>
      <c r="TNY130" s="98"/>
      <c r="TNZ130" s="98"/>
      <c r="TOA130" s="98"/>
      <c r="TOB130" s="98"/>
      <c r="TOC130" s="98"/>
      <c r="TOD130" s="98"/>
      <c r="TOE130" s="98"/>
      <c r="TOF130" s="98"/>
      <c r="TOG130" s="98"/>
      <c r="TOH130" s="98"/>
      <c r="TOI130" s="98"/>
      <c r="TOJ130" s="98"/>
      <c r="TOK130" s="98"/>
      <c r="TOL130" s="98"/>
      <c r="TOM130" s="98"/>
      <c r="TON130" s="98"/>
      <c r="TOO130" s="98"/>
      <c r="TOP130" s="98"/>
      <c r="TOQ130" s="98"/>
      <c r="TOR130" s="98"/>
      <c r="TOS130" s="98"/>
      <c r="TOT130" s="98"/>
      <c r="TOU130" s="98"/>
      <c r="TOV130" s="98"/>
      <c r="TOW130" s="98"/>
      <c r="TOX130" s="98"/>
      <c r="TOY130" s="98"/>
      <c r="TOZ130" s="98"/>
      <c r="TPA130" s="98"/>
      <c r="TPB130" s="98"/>
      <c r="TPC130" s="98"/>
      <c r="TPD130" s="98"/>
      <c r="TPE130" s="98"/>
      <c r="TPF130" s="98"/>
      <c r="TPG130" s="98"/>
      <c r="TPH130" s="98"/>
      <c r="TPI130" s="98"/>
      <c r="TPJ130" s="98"/>
      <c r="TPK130" s="98"/>
      <c r="TPL130" s="98"/>
      <c r="TPM130" s="98"/>
      <c r="TPN130" s="98"/>
      <c r="TPO130" s="98"/>
      <c r="TPP130" s="98"/>
      <c r="TPQ130" s="98"/>
      <c r="TPR130" s="98"/>
      <c r="TPS130" s="98"/>
      <c r="TPT130" s="98"/>
      <c r="TPU130" s="98"/>
      <c r="TPV130" s="98"/>
      <c r="TPW130" s="98"/>
      <c r="TPX130" s="98"/>
      <c r="TPY130" s="98"/>
      <c r="TPZ130" s="98"/>
      <c r="TQA130" s="98"/>
      <c r="TQB130" s="98"/>
      <c r="TQC130" s="98"/>
      <c r="TQD130" s="98"/>
      <c r="TQE130" s="98"/>
      <c r="TQF130" s="98"/>
      <c r="TQG130" s="98"/>
      <c r="TQH130" s="98"/>
      <c r="TQI130" s="98"/>
      <c r="TQJ130" s="98"/>
      <c r="TQK130" s="98"/>
      <c r="TQL130" s="98"/>
      <c r="TQM130" s="98"/>
      <c r="TQN130" s="98"/>
      <c r="TQO130" s="98"/>
      <c r="TQP130" s="98"/>
      <c r="TQQ130" s="98"/>
      <c r="TQR130" s="98"/>
      <c r="TQS130" s="98"/>
      <c r="TQT130" s="98"/>
      <c r="TQU130" s="98"/>
      <c r="TQV130" s="98"/>
      <c r="TQW130" s="98"/>
      <c r="TQX130" s="98"/>
      <c r="TQY130" s="98"/>
      <c r="TQZ130" s="98"/>
      <c r="TRA130" s="98"/>
      <c r="TRB130" s="98"/>
      <c r="TRC130" s="98"/>
      <c r="TRD130" s="98"/>
      <c r="TRE130" s="98"/>
      <c r="TRF130" s="98"/>
      <c r="TRG130" s="98"/>
      <c r="TRH130" s="98"/>
      <c r="TRI130" s="98"/>
      <c r="TRJ130" s="98"/>
      <c r="TRK130" s="98"/>
      <c r="TRL130" s="98"/>
      <c r="TRM130" s="98"/>
      <c r="TRN130" s="98"/>
      <c r="TRO130" s="98"/>
      <c r="TRP130" s="98"/>
      <c r="TRQ130" s="98"/>
      <c r="TRR130" s="98"/>
      <c r="TRS130" s="98"/>
      <c r="TRT130" s="98"/>
      <c r="TRU130" s="98"/>
      <c r="TRV130" s="98"/>
      <c r="TRW130" s="98"/>
      <c r="TRX130" s="98"/>
      <c r="TRY130" s="98"/>
      <c r="TRZ130" s="98"/>
      <c r="TSA130" s="98"/>
      <c r="TSB130" s="98"/>
      <c r="TSC130" s="98"/>
      <c r="TSD130" s="98"/>
      <c r="TSE130" s="98"/>
      <c r="TSF130" s="98"/>
      <c r="TSG130" s="98"/>
      <c r="TSH130" s="98"/>
      <c r="TSI130" s="98"/>
      <c r="TSJ130" s="98"/>
      <c r="TSK130" s="98"/>
      <c r="TSL130" s="98"/>
      <c r="TSM130" s="98"/>
      <c r="TSN130" s="98"/>
      <c r="TSO130" s="98"/>
      <c r="TSP130" s="98"/>
      <c r="TSQ130" s="98"/>
      <c r="TSR130" s="98"/>
      <c r="TSS130" s="98"/>
      <c r="TST130" s="98"/>
      <c r="TSU130" s="98"/>
      <c r="TSV130" s="98"/>
      <c r="TSW130" s="98"/>
      <c r="TSX130" s="98"/>
      <c r="TSY130" s="98"/>
      <c r="TSZ130" s="98"/>
      <c r="TTA130" s="98"/>
      <c r="TTB130" s="98"/>
      <c r="TTC130" s="98"/>
      <c r="TTD130" s="98"/>
      <c r="TTE130" s="98"/>
      <c r="TTF130" s="98"/>
      <c r="TTG130" s="98"/>
      <c r="TTH130" s="98"/>
      <c r="TTI130" s="98"/>
      <c r="TTJ130" s="98"/>
      <c r="TTK130" s="98"/>
      <c r="TTL130" s="98"/>
      <c r="TTM130" s="98"/>
      <c r="TTN130" s="98"/>
      <c r="TTO130" s="98"/>
      <c r="TTP130" s="98"/>
      <c r="TTQ130" s="98"/>
      <c r="TTR130" s="98"/>
      <c r="TTS130" s="98"/>
      <c r="TTT130" s="98"/>
      <c r="TTU130" s="98"/>
      <c r="TTV130" s="98"/>
      <c r="TTW130" s="98"/>
      <c r="TTX130" s="98"/>
      <c r="TTY130" s="98"/>
      <c r="TTZ130" s="98"/>
      <c r="TUA130" s="98"/>
      <c r="TUB130" s="98"/>
      <c r="TUC130" s="98"/>
      <c r="TUD130" s="98"/>
      <c r="TUE130" s="98"/>
      <c r="TUF130" s="98"/>
      <c r="TUG130" s="98"/>
      <c r="TUH130" s="98"/>
      <c r="TUI130" s="98"/>
      <c r="TUJ130" s="98"/>
      <c r="TUK130" s="98"/>
      <c r="TUL130" s="98"/>
      <c r="TUM130" s="98"/>
      <c r="TUN130" s="98"/>
      <c r="TUO130" s="98"/>
      <c r="TUP130" s="98"/>
      <c r="TUQ130" s="98"/>
      <c r="TUR130" s="98"/>
      <c r="TUS130" s="98"/>
      <c r="TUT130" s="98"/>
      <c r="TUU130" s="98"/>
      <c r="TUV130" s="98"/>
      <c r="TUW130" s="98"/>
      <c r="TUX130" s="98"/>
      <c r="TUY130" s="98"/>
      <c r="TUZ130" s="98"/>
      <c r="TVA130" s="98"/>
      <c r="TVB130" s="98"/>
      <c r="TVC130" s="98"/>
      <c r="TVD130" s="98"/>
      <c r="TVE130" s="98"/>
      <c r="TVF130" s="98"/>
      <c r="TVG130" s="98"/>
      <c r="TVH130" s="98"/>
      <c r="TVI130" s="98"/>
      <c r="TVJ130" s="98"/>
      <c r="TVK130" s="98"/>
      <c r="TVL130" s="98"/>
      <c r="TVM130" s="98"/>
      <c r="TVN130" s="98"/>
      <c r="TVO130" s="98"/>
      <c r="TVP130" s="98"/>
      <c r="TVQ130" s="98"/>
      <c r="TVR130" s="98"/>
      <c r="TVS130" s="98"/>
      <c r="TVT130" s="98"/>
      <c r="TVU130" s="98"/>
      <c r="TVV130" s="98"/>
      <c r="TVW130" s="98"/>
      <c r="TVX130" s="98"/>
      <c r="TVY130" s="98"/>
      <c r="TVZ130" s="98"/>
      <c r="TWA130" s="98"/>
      <c r="TWB130" s="98"/>
      <c r="TWC130" s="98"/>
      <c r="TWD130" s="98"/>
      <c r="TWE130" s="98"/>
      <c r="TWF130" s="98"/>
      <c r="TWG130" s="98"/>
      <c r="TWH130" s="98"/>
      <c r="TWI130" s="98"/>
      <c r="TWJ130" s="98"/>
      <c r="TWK130" s="98"/>
      <c r="TWL130" s="98"/>
      <c r="TWM130" s="98"/>
      <c r="TWN130" s="98"/>
      <c r="TWO130" s="98"/>
      <c r="TWP130" s="98"/>
      <c r="TWQ130" s="98"/>
      <c r="TWR130" s="98"/>
      <c r="TWS130" s="98"/>
      <c r="TWT130" s="98"/>
      <c r="TWU130" s="98"/>
      <c r="TWV130" s="98"/>
      <c r="TWW130" s="98"/>
      <c r="TWX130" s="98"/>
      <c r="TWY130" s="98"/>
      <c r="TWZ130" s="98"/>
      <c r="TXA130" s="98"/>
      <c r="TXB130" s="98"/>
      <c r="TXC130" s="98"/>
      <c r="TXD130" s="98"/>
      <c r="TXE130" s="98"/>
      <c r="TXF130" s="98"/>
      <c r="TXG130" s="98"/>
      <c r="TXH130" s="98"/>
      <c r="TXI130" s="98"/>
      <c r="TXJ130" s="98"/>
      <c r="TXK130" s="98"/>
      <c r="TXL130" s="98"/>
      <c r="TXM130" s="98"/>
      <c r="TXN130" s="98"/>
      <c r="TXO130" s="98"/>
      <c r="TXP130" s="98"/>
      <c r="TXQ130" s="98"/>
      <c r="TXR130" s="98"/>
      <c r="TXS130" s="98"/>
      <c r="TXT130" s="98"/>
      <c r="TXU130" s="98"/>
      <c r="TXV130" s="98"/>
      <c r="TXW130" s="98"/>
      <c r="TXX130" s="98"/>
      <c r="TXY130" s="98"/>
      <c r="TXZ130" s="98"/>
      <c r="TYA130" s="98"/>
      <c r="TYB130" s="98"/>
      <c r="TYC130" s="98"/>
      <c r="TYD130" s="98"/>
      <c r="TYE130" s="98"/>
      <c r="TYF130" s="98"/>
      <c r="TYG130" s="98"/>
      <c r="TYH130" s="98"/>
      <c r="TYI130" s="98"/>
      <c r="TYJ130" s="98"/>
      <c r="TYK130" s="98"/>
      <c r="TYL130" s="98"/>
      <c r="TYM130" s="98"/>
      <c r="TYN130" s="98"/>
      <c r="TYO130" s="98"/>
      <c r="TYP130" s="98"/>
      <c r="TYQ130" s="98"/>
      <c r="TYR130" s="98"/>
      <c r="TYS130" s="98"/>
      <c r="TYT130" s="98"/>
      <c r="TYU130" s="98"/>
      <c r="TYV130" s="98"/>
      <c r="TYW130" s="98"/>
      <c r="TYX130" s="98"/>
      <c r="TYY130" s="98"/>
      <c r="TYZ130" s="98"/>
      <c r="TZA130" s="98"/>
      <c r="TZB130" s="98"/>
      <c r="TZC130" s="98"/>
      <c r="TZD130" s="98"/>
      <c r="TZE130" s="98"/>
      <c r="TZF130" s="98"/>
      <c r="TZG130" s="98"/>
      <c r="TZH130" s="98"/>
      <c r="TZI130" s="98"/>
      <c r="TZJ130" s="98"/>
      <c r="TZK130" s="98"/>
      <c r="TZL130" s="98"/>
      <c r="TZM130" s="98"/>
      <c r="TZN130" s="98"/>
      <c r="TZO130" s="98"/>
      <c r="TZP130" s="98"/>
      <c r="TZQ130" s="98"/>
      <c r="TZR130" s="98"/>
      <c r="TZS130" s="98"/>
      <c r="TZT130" s="98"/>
      <c r="TZU130" s="98"/>
      <c r="TZV130" s="98"/>
      <c r="TZW130" s="98"/>
      <c r="TZX130" s="98"/>
      <c r="TZY130" s="98"/>
      <c r="TZZ130" s="98"/>
      <c r="UAA130" s="98"/>
      <c r="UAB130" s="98"/>
      <c r="UAC130" s="98"/>
      <c r="UAD130" s="98"/>
      <c r="UAE130" s="98"/>
      <c r="UAF130" s="98"/>
      <c r="UAG130" s="98"/>
      <c r="UAH130" s="98"/>
      <c r="UAI130" s="98"/>
      <c r="UAJ130" s="98"/>
      <c r="UAK130" s="98"/>
      <c r="UAL130" s="98"/>
      <c r="UAM130" s="98"/>
      <c r="UAN130" s="98"/>
      <c r="UAO130" s="98"/>
      <c r="UAP130" s="98"/>
      <c r="UAQ130" s="98"/>
      <c r="UAR130" s="98"/>
      <c r="UAS130" s="98"/>
      <c r="UAT130" s="98"/>
      <c r="UAU130" s="98"/>
      <c r="UAV130" s="98"/>
      <c r="UAW130" s="98"/>
      <c r="UAX130" s="98"/>
      <c r="UAY130" s="98"/>
      <c r="UAZ130" s="98"/>
      <c r="UBA130" s="98"/>
      <c r="UBB130" s="98"/>
      <c r="UBC130" s="98"/>
      <c r="UBD130" s="98"/>
      <c r="UBE130" s="98"/>
      <c r="UBF130" s="98"/>
      <c r="UBG130" s="98"/>
      <c r="UBH130" s="98"/>
      <c r="UBI130" s="98"/>
      <c r="UBJ130" s="98"/>
      <c r="UBK130" s="98"/>
      <c r="UBL130" s="98"/>
      <c r="UBM130" s="98"/>
      <c r="UBN130" s="98"/>
      <c r="UBO130" s="98"/>
      <c r="UBP130" s="98"/>
      <c r="UBQ130" s="98"/>
      <c r="UBR130" s="98"/>
      <c r="UBS130" s="98"/>
      <c r="UBT130" s="98"/>
      <c r="UBU130" s="98"/>
      <c r="UBV130" s="98"/>
      <c r="UBW130" s="98"/>
      <c r="UBX130" s="98"/>
      <c r="UBY130" s="98"/>
      <c r="UBZ130" s="98"/>
      <c r="UCA130" s="98"/>
      <c r="UCB130" s="98"/>
      <c r="UCC130" s="98"/>
      <c r="UCD130" s="98"/>
      <c r="UCE130" s="98"/>
      <c r="UCF130" s="98"/>
      <c r="UCG130" s="98"/>
      <c r="UCH130" s="98"/>
      <c r="UCI130" s="98"/>
      <c r="UCJ130" s="98"/>
      <c r="UCK130" s="98"/>
      <c r="UCL130" s="98"/>
      <c r="UCM130" s="98"/>
      <c r="UCN130" s="98"/>
      <c r="UCO130" s="98"/>
      <c r="UCP130" s="98"/>
      <c r="UCQ130" s="98"/>
      <c r="UCR130" s="98"/>
      <c r="UCS130" s="98"/>
      <c r="UCT130" s="98"/>
      <c r="UCU130" s="98"/>
      <c r="UCV130" s="98"/>
      <c r="UCW130" s="98"/>
      <c r="UCX130" s="98"/>
      <c r="UCY130" s="98"/>
      <c r="UCZ130" s="98"/>
      <c r="UDA130" s="98"/>
      <c r="UDB130" s="98"/>
      <c r="UDC130" s="98"/>
      <c r="UDD130" s="98"/>
      <c r="UDE130" s="98"/>
      <c r="UDF130" s="98"/>
      <c r="UDG130" s="98"/>
      <c r="UDH130" s="98"/>
      <c r="UDI130" s="98"/>
      <c r="UDJ130" s="98"/>
      <c r="UDK130" s="98"/>
      <c r="UDL130" s="98"/>
      <c r="UDM130" s="98"/>
      <c r="UDN130" s="98"/>
      <c r="UDO130" s="98"/>
      <c r="UDP130" s="98"/>
      <c r="UDQ130" s="98"/>
      <c r="UDR130" s="98"/>
      <c r="UDS130" s="98"/>
      <c r="UDT130" s="98"/>
      <c r="UDU130" s="98"/>
      <c r="UDV130" s="98"/>
      <c r="UDW130" s="98"/>
      <c r="UDX130" s="98"/>
      <c r="UDY130" s="98"/>
      <c r="UDZ130" s="98"/>
      <c r="UEA130" s="98"/>
      <c r="UEB130" s="98"/>
      <c r="UEC130" s="98"/>
      <c r="UED130" s="98"/>
      <c r="UEE130" s="98"/>
      <c r="UEF130" s="98"/>
      <c r="UEG130" s="98"/>
      <c r="UEH130" s="98"/>
      <c r="UEI130" s="98"/>
      <c r="UEJ130" s="98"/>
      <c r="UEK130" s="98"/>
      <c r="UEL130" s="98"/>
      <c r="UEM130" s="98"/>
      <c r="UEN130" s="98"/>
      <c r="UEO130" s="98"/>
      <c r="UEP130" s="98"/>
      <c r="UEQ130" s="98"/>
      <c r="UER130" s="98"/>
      <c r="UES130" s="98"/>
      <c r="UET130" s="98"/>
      <c r="UEU130" s="98"/>
      <c r="UEV130" s="98"/>
      <c r="UEW130" s="98"/>
      <c r="UEX130" s="98"/>
      <c r="UEY130" s="98"/>
      <c r="UEZ130" s="98"/>
      <c r="UFA130" s="98"/>
      <c r="UFB130" s="98"/>
      <c r="UFC130" s="98"/>
      <c r="UFD130" s="98"/>
      <c r="UFE130" s="98"/>
      <c r="UFF130" s="98"/>
      <c r="UFG130" s="98"/>
      <c r="UFH130" s="98"/>
      <c r="UFI130" s="98"/>
      <c r="UFJ130" s="98"/>
      <c r="UFK130" s="98"/>
      <c r="UFL130" s="98"/>
      <c r="UFM130" s="98"/>
      <c r="UFN130" s="98"/>
      <c r="UFO130" s="98"/>
      <c r="UFP130" s="98"/>
      <c r="UFQ130" s="98"/>
      <c r="UFR130" s="98"/>
      <c r="UFS130" s="98"/>
      <c r="UFT130" s="98"/>
      <c r="UFU130" s="98"/>
      <c r="UFV130" s="98"/>
      <c r="UFW130" s="98"/>
      <c r="UFX130" s="98"/>
      <c r="UFY130" s="98"/>
      <c r="UFZ130" s="98"/>
      <c r="UGA130" s="98"/>
      <c r="UGB130" s="98"/>
      <c r="UGC130" s="98"/>
      <c r="UGD130" s="98"/>
      <c r="UGE130" s="98"/>
      <c r="UGF130" s="98"/>
      <c r="UGG130" s="98"/>
      <c r="UGH130" s="98"/>
      <c r="UGI130" s="98"/>
      <c r="UGJ130" s="98"/>
      <c r="UGK130" s="98"/>
      <c r="UGL130" s="98"/>
      <c r="UGM130" s="98"/>
      <c r="UGN130" s="98"/>
      <c r="UGO130" s="98"/>
      <c r="UGP130" s="98"/>
      <c r="UGQ130" s="98"/>
      <c r="UGR130" s="98"/>
      <c r="UGS130" s="98"/>
      <c r="UGT130" s="98"/>
      <c r="UGU130" s="98"/>
      <c r="UGV130" s="98"/>
      <c r="UGW130" s="98"/>
      <c r="UGX130" s="98"/>
      <c r="UGY130" s="98"/>
      <c r="UGZ130" s="98"/>
      <c r="UHA130" s="98"/>
      <c r="UHB130" s="98"/>
      <c r="UHC130" s="98"/>
      <c r="UHD130" s="98"/>
      <c r="UHE130" s="98"/>
      <c r="UHF130" s="98"/>
      <c r="UHG130" s="98"/>
      <c r="UHH130" s="98"/>
      <c r="UHI130" s="98"/>
      <c r="UHJ130" s="98"/>
      <c r="UHK130" s="98"/>
      <c r="UHL130" s="98"/>
      <c r="UHM130" s="98"/>
      <c r="UHN130" s="98"/>
      <c r="UHO130" s="98"/>
      <c r="UHP130" s="98"/>
      <c r="UHQ130" s="98"/>
      <c r="UHR130" s="98"/>
      <c r="UHS130" s="98"/>
      <c r="UHT130" s="98"/>
      <c r="UHU130" s="98"/>
      <c r="UHV130" s="98"/>
      <c r="UHW130" s="98"/>
      <c r="UHX130" s="98"/>
      <c r="UHY130" s="98"/>
      <c r="UHZ130" s="98"/>
      <c r="UIA130" s="98"/>
      <c r="UIB130" s="98"/>
      <c r="UIC130" s="98"/>
      <c r="UID130" s="98"/>
      <c r="UIE130" s="98"/>
      <c r="UIF130" s="98"/>
      <c r="UIG130" s="98"/>
      <c r="UIH130" s="98"/>
      <c r="UII130" s="98"/>
      <c r="UIJ130" s="98"/>
      <c r="UIK130" s="98"/>
      <c r="UIL130" s="98"/>
      <c r="UIM130" s="98"/>
      <c r="UIN130" s="98"/>
      <c r="UIO130" s="98"/>
      <c r="UIP130" s="98"/>
      <c r="UIQ130" s="98"/>
      <c r="UIR130" s="98"/>
      <c r="UIS130" s="98"/>
      <c r="UIT130" s="98"/>
      <c r="UIU130" s="98"/>
      <c r="UIV130" s="98"/>
      <c r="UIW130" s="98"/>
      <c r="UIX130" s="98"/>
      <c r="UIY130" s="98"/>
      <c r="UIZ130" s="98"/>
      <c r="UJA130" s="98"/>
      <c r="UJB130" s="98"/>
      <c r="UJC130" s="98"/>
      <c r="UJD130" s="98"/>
      <c r="UJE130" s="98"/>
      <c r="UJF130" s="98"/>
      <c r="UJG130" s="98"/>
      <c r="UJH130" s="98"/>
      <c r="UJI130" s="98"/>
      <c r="UJJ130" s="98"/>
      <c r="UJK130" s="98"/>
      <c r="UJL130" s="98"/>
      <c r="UJM130" s="98"/>
      <c r="UJN130" s="98"/>
      <c r="UJO130" s="98"/>
      <c r="UJP130" s="98"/>
      <c r="UJQ130" s="98"/>
      <c r="UJR130" s="98"/>
      <c r="UJS130" s="98"/>
      <c r="UJT130" s="98"/>
      <c r="UJU130" s="98"/>
      <c r="UJV130" s="98"/>
      <c r="UJW130" s="98"/>
      <c r="UJX130" s="98"/>
      <c r="UJY130" s="98"/>
      <c r="UJZ130" s="98"/>
      <c r="UKA130" s="98"/>
      <c r="UKB130" s="98"/>
      <c r="UKC130" s="98"/>
      <c r="UKD130" s="98"/>
      <c r="UKE130" s="98"/>
      <c r="UKF130" s="98"/>
      <c r="UKG130" s="98"/>
      <c r="UKH130" s="98"/>
      <c r="UKI130" s="98"/>
      <c r="UKJ130" s="98"/>
      <c r="UKK130" s="98"/>
      <c r="UKL130" s="98"/>
      <c r="UKM130" s="98"/>
      <c r="UKN130" s="98"/>
      <c r="UKO130" s="98"/>
      <c r="UKP130" s="98"/>
      <c r="UKQ130" s="98"/>
      <c r="UKR130" s="98"/>
      <c r="UKS130" s="98"/>
      <c r="UKT130" s="98"/>
      <c r="UKU130" s="98"/>
      <c r="UKV130" s="98"/>
      <c r="UKW130" s="98"/>
      <c r="UKX130" s="98"/>
      <c r="UKY130" s="98"/>
      <c r="UKZ130" s="98"/>
      <c r="ULA130" s="98"/>
      <c r="ULB130" s="98"/>
      <c r="ULC130" s="98"/>
      <c r="ULD130" s="98"/>
      <c r="ULE130" s="98"/>
      <c r="ULF130" s="98"/>
      <c r="ULG130" s="98"/>
      <c r="ULH130" s="98"/>
      <c r="ULI130" s="98"/>
      <c r="ULJ130" s="98"/>
      <c r="ULK130" s="98"/>
      <c r="ULL130" s="98"/>
      <c r="ULM130" s="98"/>
      <c r="ULN130" s="98"/>
      <c r="ULO130" s="98"/>
      <c r="ULP130" s="98"/>
      <c r="ULQ130" s="98"/>
      <c r="ULR130" s="98"/>
      <c r="ULS130" s="98"/>
      <c r="ULT130" s="98"/>
      <c r="ULU130" s="98"/>
      <c r="ULV130" s="98"/>
      <c r="ULW130" s="98"/>
      <c r="ULX130" s="98"/>
      <c r="ULY130" s="98"/>
      <c r="ULZ130" s="98"/>
      <c r="UMA130" s="98"/>
      <c r="UMB130" s="98"/>
      <c r="UMC130" s="98"/>
      <c r="UMD130" s="98"/>
      <c r="UME130" s="98"/>
      <c r="UMF130" s="98"/>
      <c r="UMG130" s="98"/>
      <c r="UMH130" s="98"/>
      <c r="UMI130" s="98"/>
      <c r="UMJ130" s="98"/>
      <c r="UMK130" s="98"/>
      <c r="UML130" s="98"/>
      <c r="UMM130" s="98"/>
      <c r="UMN130" s="98"/>
      <c r="UMO130" s="98"/>
      <c r="UMP130" s="98"/>
      <c r="UMQ130" s="98"/>
      <c r="UMR130" s="98"/>
      <c r="UMS130" s="98"/>
      <c r="UMT130" s="98"/>
      <c r="UMU130" s="98"/>
      <c r="UMV130" s="98"/>
      <c r="UMW130" s="98"/>
      <c r="UMX130" s="98"/>
      <c r="UMY130" s="98"/>
      <c r="UMZ130" s="98"/>
      <c r="UNA130" s="98"/>
      <c r="UNB130" s="98"/>
      <c r="UNC130" s="98"/>
      <c r="UND130" s="98"/>
      <c r="UNE130" s="98"/>
      <c r="UNF130" s="98"/>
      <c r="UNG130" s="98"/>
      <c r="UNH130" s="98"/>
      <c r="UNI130" s="98"/>
      <c r="UNJ130" s="98"/>
      <c r="UNK130" s="98"/>
      <c r="UNL130" s="98"/>
      <c r="UNM130" s="98"/>
      <c r="UNN130" s="98"/>
      <c r="UNO130" s="98"/>
      <c r="UNP130" s="98"/>
      <c r="UNQ130" s="98"/>
      <c r="UNR130" s="98"/>
      <c r="UNS130" s="98"/>
      <c r="UNT130" s="98"/>
      <c r="UNU130" s="98"/>
      <c r="UNV130" s="98"/>
      <c r="UNW130" s="98"/>
      <c r="UNX130" s="98"/>
      <c r="UNY130" s="98"/>
      <c r="UNZ130" s="98"/>
      <c r="UOA130" s="98"/>
      <c r="UOB130" s="98"/>
      <c r="UOC130" s="98"/>
      <c r="UOD130" s="98"/>
      <c r="UOE130" s="98"/>
      <c r="UOF130" s="98"/>
      <c r="UOG130" s="98"/>
      <c r="UOH130" s="98"/>
      <c r="UOI130" s="98"/>
      <c r="UOJ130" s="98"/>
      <c r="UOK130" s="98"/>
      <c r="UOL130" s="98"/>
      <c r="UOM130" s="98"/>
      <c r="UON130" s="98"/>
      <c r="UOO130" s="98"/>
      <c r="UOP130" s="98"/>
      <c r="UOQ130" s="98"/>
      <c r="UOR130" s="98"/>
      <c r="UOS130" s="98"/>
      <c r="UOT130" s="98"/>
      <c r="UOU130" s="98"/>
      <c r="UOV130" s="98"/>
      <c r="UOW130" s="98"/>
      <c r="UOX130" s="98"/>
      <c r="UOY130" s="98"/>
      <c r="UOZ130" s="98"/>
      <c r="UPA130" s="98"/>
      <c r="UPB130" s="98"/>
      <c r="UPC130" s="98"/>
      <c r="UPD130" s="98"/>
      <c r="UPE130" s="98"/>
      <c r="UPF130" s="98"/>
      <c r="UPG130" s="98"/>
      <c r="UPH130" s="98"/>
      <c r="UPI130" s="98"/>
      <c r="UPJ130" s="98"/>
      <c r="UPK130" s="98"/>
      <c r="UPL130" s="98"/>
      <c r="UPM130" s="98"/>
      <c r="UPN130" s="98"/>
      <c r="UPO130" s="98"/>
      <c r="UPP130" s="98"/>
      <c r="UPQ130" s="98"/>
      <c r="UPR130" s="98"/>
      <c r="UPS130" s="98"/>
      <c r="UPT130" s="98"/>
      <c r="UPU130" s="98"/>
      <c r="UPV130" s="98"/>
      <c r="UPW130" s="98"/>
      <c r="UPX130" s="98"/>
      <c r="UPY130" s="98"/>
      <c r="UPZ130" s="98"/>
      <c r="UQA130" s="98"/>
      <c r="UQB130" s="98"/>
      <c r="UQC130" s="98"/>
      <c r="UQD130" s="98"/>
      <c r="UQE130" s="98"/>
      <c r="UQF130" s="98"/>
      <c r="UQG130" s="98"/>
      <c r="UQH130" s="98"/>
      <c r="UQI130" s="98"/>
      <c r="UQJ130" s="98"/>
      <c r="UQK130" s="98"/>
      <c r="UQL130" s="98"/>
      <c r="UQM130" s="98"/>
      <c r="UQN130" s="98"/>
      <c r="UQO130" s="98"/>
      <c r="UQP130" s="98"/>
      <c r="UQQ130" s="98"/>
      <c r="UQR130" s="98"/>
      <c r="UQS130" s="98"/>
      <c r="UQT130" s="98"/>
      <c r="UQU130" s="98"/>
      <c r="UQV130" s="98"/>
      <c r="UQW130" s="98"/>
      <c r="UQX130" s="98"/>
      <c r="UQY130" s="98"/>
      <c r="UQZ130" s="98"/>
      <c r="URA130" s="98"/>
      <c r="URB130" s="98"/>
      <c r="URC130" s="98"/>
      <c r="URD130" s="98"/>
      <c r="URE130" s="98"/>
      <c r="URF130" s="98"/>
      <c r="URG130" s="98"/>
      <c r="URH130" s="98"/>
      <c r="URI130" s="98"/>
      <c r="URJ130" s="98"/>
      <c r="URK130" s="98"/>
      <c r="URL130" s="98"/>
      <c r="URM130" s="98"/>
      <c r="URN130" s="98"/>
      <c r="URO130" s="98"/>
      <c r="URP130" s="98"/>
      <c r="URQ130" s="98"/>
      <c r="URR130" s="98"/>
      <c r="URS130" s="98"/>
      <c r="URT130" s="98"/>
      <c r="URU130" s="98"/>
      <c r="URV130" s="98"/>
      <c r="URW130" s="98"/>
      <c r="URX130" s="98"/>
      <c r="URY130" s="98"/>
      <c r="URZ130" s="98"/>
      <c r="USA130" s="98"/>
      <c r="USB130" s="98"/>
      <c r="USC130" s="98"/>
      <c r="USD130" s="98"/>
      <c r="USE130" s="98"/>
      <c r="USF130" s="98"/>
      <c r="USG130" s="98"/>
      <c r="USH130" s="98"/>
      <c r="USI130" s="98"/>
      <c r="USJ130" s="98"/>
      <c r="USK130" s="98"/>
      <c r="USL130" s="98"/>
      <c r="USM130" s="98"/>
      <c r="USN130" s="98"/>
      <c r="USO130" s="98"/>
      <c r="USP130" s="98"/>
      <c r="USQ130" s="98"/>
      <c r="USR130" s="98"/>
      <c r="USS130" s="98"/>
      <c r="UST130" s="98"/>
      <c r="USU130" s="98"/>
      <c r="USV130" s="98"/>
      <c r="USW130" s="98"/>
      <c r="USX130" s="98"/>
      <c r="USY130" s="98"/>
      <c r="USZ130" s="98"/>
      <c r="UTA130" s="98"/>
      <c r="UTB130" s="98"/>
      <c r="UTC130" s="98"/>
      <c r="UTD130" s="98"/>
      <c r="UTE130" s="98"/>
      <c r="UTF130" s="98"/>
      <c r="UTG130" s="98"/>
      <c r="UTH130" s="98"/>
      <c r="UTI130" s="98"/>
      <c r="UTJ130" s="98"/>
      <c r="UTK130" s="98"/>
      <c r="UTL130" s="98"/>
      <c r="UTM130" s="98"/>
      <c r="UTN130" s="98"/>
      <c r="UTO130" s="98"/>
      <c r="UTP130" s="98"/>
      <c r="UTQ130" s="98"/>
      <c r="UTR130" s="98"/>
      <c r="UTS130" s="98"/>
      <c r="UTT130" s="98"/>
      <c r="UTU130" s="98"/>
      <c r="UTV130" s="98"/>
      <c r="UTW130" s="98"/>
      <c r="UTX130" s="98"/>
      <c r="UTY130" s="98"/>
      <c r="UTZ130" s="98"/>
      <c r="UUA130" s="98"/>
      <c r="UUB130" s="98"/>
      <c r="UUC130" s="98"/>
      <c r="UUD130" s="98"/>
      <c r="UUE130" s="98"/>
      <c r="UUF130" s="98"/>
      <c r="UUG130" s="98"/>
      <c r="UUH130" s="98"/>
      <c r="UUI130" s="98"/>
      <c r="UUJ130" s="98"/>
      <c r="UUK130" s="98"/>
      <c r="UUL130" s="98"/>
      <c r="UUM130" s="98"/>
      <c r="UUN130" s="98"/>
      <c r="UUO130" s="98"/>
      <c r="UUP130" s="98"/>
      <c r="UUQ130" s="98"/>
      <c r="UUR130" s="98"/>
      <c r="UUS130" s="98"/>
      <c r="UUT130" s="98"/>
      <c r="UUU130" s="98"/>
      <c r="UUV130" s="98"/>
      <c r="UUW130" s="98"/>
      <c r="UUX130" s="98"/>
      <c r="UUY130" s="98"/>
      <c r="UUZ130" s="98"/>
      <c r="UVA130" s="98"/>
      <c r="UVB130" s="98"/>
      <c r="UVC130" s="98"/>
      <c r="UVD130" s="98"/>
      <c r="UVE130" s="98"/>
      <c r="UVF130" s="98"/>
      <c r="UVG130" s="98"/>
      <c r="UVH130" s="98"/>
      <c r="UVI130" s="98"/>
      <c r="UVJ130" s="98"/>
      <c r="UVK130" s="98"/>
      <c r="UVL130" s="98"/>
      <c r="UVM130" s="98"/>
      <c r="UVN130" s="98"/>
      <c r="UVO130" s="98"/>
      <c r="UVP130" s="98"/>
      <c r="UVQ130" s="98"/>
      <c r="UVR130" s="98"/>
      <c r="UVS130" s="98"/>
      <c r="UVT130" s="98"/>
      <c r="UVU130" s="98"/>
      <c r="UVV130" s="98"/>
      <c r="UVW130" s="98"/>
      <c r="UVX130" s="98"/>
      <c r="UVY130" s="98"/>
      <c r="UVZ130" s="98"/>
      <c r="UWA130" s="98"/>
      <c r="UWB130" s="98"/>
      <c r="UWC130" s="98"/>
      <c r="UWD130" s="98"/>
      <c r="UWE130" s="98"/>
      <c r="UWF130" s="98"/>
      <c r="UWG130" s="98"/>
      <c r="UWH130" s="98"/>
      <c r="UWI130" s="98"/>
      <c r="UWJ130" s="98"/>
      <c r="UWK130" s="98"/>
      <c r="UWL130" s="98"/>
      <c r="UWM130" s="98"/>
      <c r="UWN130" s="98"/>
      <c r="UWO130" s="98"/>
      <c r="UWP130" s="98"/>
      <c r="UWQ130" s="98"/>
      <c r="UWR130" s="98"/>
      <c r="UWS130" s="98"/>
      <c r="UWT130" s="98"/>
      <c r="UWU130" s="98"/>
      <c r="UWV130" s="98"/>
      <c r="UWW130" s="98"/>
      <c r="UWX130" s="98"/>
      <c r="UWY130" s="98"/>
      <c r="UWZ130" s="98"/>
      <c r="UXA130" s="98"/>
      <c r="UXB130" s="98"/>
      <c r="UXC130" s="98"/>
      <c r="UXD130" s="98"/>
      <c r="UXE130" s="98"/>
      <c r="UXF130" s="98"/>
      <c r="UXG130" s="98"/>
      <c r="UXH130" s="98"/>
      <c r="UXI130" s="98"/>
      <c r="UXJ130" s="98"/>
      <c r="UXK130" s="98"/>
      <c r="UXL130" s="98"/>
      <c r="UXM130" s="98"/>
      <c r="UXN130" s="98"/>
      <c r="UXO130" s="98"/>
      <c r="UXP130" s="98"/>
      <c r="UXQ130" s="98"/>
      <c r="UXR130" s="98"/>
      <c r="UXS130" s="98"/>
      <c r="UXT130" s="98"/>
      <c r="UXU130" s="98"/>
      <c r="UXV130" s="98"/>
      <c r="UXW130" s="98"/>
      <c r="UXX130" s="98"/>
      <c r="UXY130" s="98"/>
      <c r="UXZ130" s="98"/>
      <c r="UYA130" s="98"/>
      <c r="UYB130" s="98"/>
      <c r="UYC130" s="98"/>
      <c r="UYD130" s="98"/>
      <c r="UYE130" s="98"/>
      <c r="UYF130" s="98"/>
      <c r="UYG130" s="98"/>
      <c r="UYH130" s="98"/>
      <c r="UYI130" s="98"/>
      <c r="UYJ130" s="98"/>
      <c r="UYK130" s="98"/>
      <c r="UYL130" s="98"/>
      <c r="UYM130" s="98"/>
      <c r="UYN130" s="98"/>
      <c r="UYO130" s="98"/>
      <c r="UYP130" s="98"/>
      <c r="UYQ130" s="98"/>
      <c r="UYR130" s="98"/>
      <c r="UYS130" s="98"/>
      <c r="UYT130" s="98"/>
      <c r="UYU130" s="98"/>
      <c r="UYV130" s="98"/>
      <c r="UYW130" s="98"/>
      <c r="UYX130" s="98"/>
      <c r="UYY130" s="98"/>
      <c r="UYZ130" s="98"/>
      <c r="UZA130" s="98"/>
      <c r="UZB130" s="98"/>
      <c r="UZC130" s="98"/>
      <c r="UZD130" s="98"/>
      <c r="UZE130" s="98"/>
      <c r="UZF130" s="98"/>
      <c r="UZG130" s="98"/>
      <c r="UZH130" s="98"/>
      <c r="UZI130" s="98"/>
      <c r="UZJ130" s="98"/>
      <c r="UZK130" s="98"/>
      <c r="UZL130" s="98"/>
      <c r="UZM130" s="98"/>
      <c r="UZN130" s="98"/>
      <c r="UZO130" s="98"/>
      <c r="UZP130" s="98"/>
      <c r="UZQ130" s="98"/>
      <c r="UZR130" s="98"/>
      <c r="UZS130" s="98"/>
      <c r="UZT130" s="98"/>
      <c r="UZU130" s="98"/>
      <c r="UZV130" s="98"/>
      <c r="UZW130" s="98"/>
      <c r="UZX130" s="98"/>
      <c r="UZY130" s="98"/>
      <c r="UZZ130" s="98"/>
      <c r="VAA130" s="98"/>
      <c r="VAB130" s="98"/>
      <c r="VAC130" s="98"/>
      <c r="VAD130" s="98"/>
      <c r="VAE130" s="98"/>
      <c r="VAF130" s="98"/>
      <c r="VAG130" s="98"/>
      <c r="VAH130" s="98"/>
      <c r="VAI130" s="98"/>
      <c r="VAJ130" s="98"/>
      <c r="VAK130" s="98"/>
      <c r="VAL130" s="98"/>
      <c r="VAM130" s="98"/>
      <c r="VAN130" s="98"/>
      <c r="VAO130" s="98"/>
      <c r="VAP130" s="98"/>
      <c r="VAQ130" s="98"/>
      <c r="VAR130" s="98"/>
      <c r="VAS130" s="98"/>
      <c r="VAT130" s="98"/>
      <c r="VAU130" s="98"/>
      <c r="VAV130" s="98"/>
      <c r="VAW130" s="98"/>
      <c r="VAX130" s="98"/>
      <c r="VAY130" s="98"/>
      <c r="VAZ130" s="98"/>
      <c r="VBA130" s="98"/>
      <c r="VBB130" s="98"/>
      <c r="VBC130" s="98"/>
      <c r="VBD130" s="98"/>
      <c r="VBE130" s="98"/>
      <c r="VBF130" s="98"/>
      <c r="VBG130" s="98"/>
      <c r="VBH130" s="98"/>
      <c r="VBI130" s="98"/>
      <c r="VBJ130" s="98"/>
      <c r="VBK130" s="98"/>
      <c r="VBL130" s="98"/>
      <c r="VBM130" s="98"/>
      <c r="VBN130" s="98"/>
      <c r="VBO130" s="98"/>
      <c r="VBP130" s="98"/>
      <c r="VBQ130" s="98"/>
      <c r="VBR130" s="98"/>
      <c r="VBS130" s="98"/>
      <c r="VBT130" s="98"/>
      <c r="VBU130" s="98"/>
      <c r="VBV130" s="98"/>
      <c r="VBW130" s="98"/>
      <c r="VBX130" s="98"/>
      <c r="VBY130" s="98"/>
      <c r="VBZ130" s="98"/>
      <c r="VCA130" s="98"/>
      <c r="VCB130" s="98"/>
      <c r="VCC130" s="98"/>
      <c r="VCD130" s="98"/>
      <c r="VCE130" s="98"/>
      <c r="VCF130" s="98"/>
      <c r="VCG130" s="98"/>
      <c r="VCH130" s="98"/>
      <c r="VCI130" s="98"/>
      <c r="VCJ130" s="98"/>
      <c r="VCK130" s="98"/>
      <c r="VCL130" s="98"/>
      <c r="VCM130" s="98"/>
      <c r="VCN130" s="98"/>
      <c r="VCO130" s="98"/>
      <c r="VCP130" s="98"/>
      <c r="VCQ130" s="98"/>
      <c r="VCR130" s="98"/>
      <c r="VCS130" s="98"/>
      <c r="VCT130" s="98"/>
      <c r="VCU130" s="98"/>
      <c r="VCV130" s="98"/>
      <c r="VCW130" s="98"/>
      <c r="VCX130" s="98"/>
      <c r="VCY130" s="98"/>
      <c r="VCZ130" s="98"/>
      <c r="VDA130" s="98"/>
      <c r="VDB130" s="98"/>
      <c r="VDC130" s="98"/>
      <c r="VDD130" s="98"/>
      <c r="VDE130" s="98"/>
      <c r="VDF130" s="98"/>
      <c r="VDG130" s="98"/>
      <c r="VDH130" s="98"/>
      <c r="VDI130" s="98"/>
      <c r="VDJ130" s="98"/>
      <c r="VDK130" s="98"/>
      <c r="VDL130" s="98"/>
      <c r="VDM130" s="98"/>
      <c r="VDN130" s="98"/>
      <c r="VDO130" s="98"/>
      <c r="VDP130" s="98"/>
      <c r="VDQ130" s="98"/>
      <c r="VDR130" s="98"/>
      <c r="VDS130" s="98"/>
      <c r="VDT130" s="98"/>
      <c r="VDU130" s="98"/>
      <c r="VDV130" s="98"/>
      <c r="VDW130" s="98"/>
      <c r="VDX130" s="98"/>
      <c r="VDY130" s="98"/>
      <c r="VDZ130" s="98"/>
      <c r="VEA130" s="98"/>
      <c r="VEB130" s="98"/>
      <c r="VEC130" s="98"/>
      <c r="VED130" s="98"/>
      <c r="VEE130" s="98"/>
      <c r="VEF130" s="98"/>
      <c r="VEG130" s="98"/>
      <c r="VEH130" s="98"/>
      <c r="VEI130" s="98"/>
      <c r="VEJ130" s="98"/>
      <c r="VEK130" s="98"/>
      <c r="VEL130" s="98"/>
      <c r="VEM130" s="98"/>
      <c r="VEN130" s="98"/>
      <c r="VEO130" s="98"/>
      <c r="VEP130" s="98"/>
      <c r="VEQ130" s="98"/>
      <c r="VER130" s="98"/>
      <c r="VES130" s="98"/>
      <c r="VET130" s="98"/>
      <c r="VEU130" s="98"/>
      <c r="VEV130" s="98"/>
      <c r="VEW130" s="98"/>
      <c r="VEX130" s="98"/>
      <c r="VEY130" s="98"/>
      <c r="VEZ130" s="98"/>
      <c r="VFA130" s="98"/>
      <c r="VFB130" s="98"/>
      <c r="VFC130" s="98"/>
      <c r="VFD130" s="98"/>
      <c r="VFE130" s="98"/>
      <c r="VFF130" s="98"/>
      <c r="VFG130" s="98"/>
      <c r="VFH130" s="98"/>
      <c r="VFI130" s="98"/>
      <c r="VFJ130" s="98"/>
      <c r="VFK130" s="98"/>
      <c r="VFL130" s="98"/>
      <c r="VFM130" s="98"/>
      <c r="VFN130" s="98"/>
      <c r="VFO130" s="98"/>
      <c r="VFP130" s="98"/>
      <c r="VFQ130" s="98"/>
      <c r="VFR130" s="98"/>
      <c r="VFS130" s="98"/>
      <c r="VFT130" s="98"/>
      <c r="VFU130" s="98"/>
      <c r="VFV130" s="98"/>
      <c r="VFW130" s="98"/>
      <c r="VFX130" s="98"/>
      <c r="VFY130" s="98"/>
      <c r="VFZ130" s="98"/>
      <c r="VGA130" s="98"/>
      <c r="VGB130" s="98"/>
      <c r="VGC130" s="98"/>
      <c r="VGD130" s="98"/>
      <c r="VGE130" s="98"/>
      <c r="VGF130" s="98"/>
      <c r="VGG130" s="98"/>
      <c r="VGH130" s="98"/>
      <c r="VGI130" s="98"/>
      <c r="VGJ130" s="98"/>
      <c r="VGK130" s="98"/>
      <c r="VGL130" s="98"/>
      <c r="VGM130" s="98"/>
      <c r="VGN130" s="98"/>
      <c r="VGO130" s="98"/>
      <c r="VGP130" s="98"/>
      <c r="VGQ130" s="98"/>
      <c r="VGR130" s="98"/>
      <c r="VGS130" s="98"/>
      <c r="VGT130" s="98"/>
      <c r="VGU130" s="98"/>
      <c r="VGV130" s="98"/>
      <c r="VGW130" s="98"/>
      <c r="VGX130" s="98"/>
      <c r="VGY130" s="98"/>
      <c r="VGZ130" s="98"/>
      <c r="VHA130" s="98"/>
      <c r="VHB130" s="98"/>
      <c r="VHC130" s="98"/>
      <c r="VHD130" s="98"/>
      <c r="VHE130" s="98"/>
      <c r="VHF130" s="98"/>
      <c r="VHG130" s="98"/>
      <c r="VHH130" s="98"/>
      <c r="VHI130" s="98"/>
      <c r="VHJ130" s="98"/>
      <c r="VHK130" s="98"/>
      <c r="VHL130" s="98"/>
      <c r="VHM130" s="98"/>
      <c r="VHN130" s="98"/>
      <c r="VHO130" s="98"/>
      <c r="VHP130" s="98"/>
      <c r="VHQ130" s="98"/>
      <c r="VHR130" s="98"/>
      <c r="VHS130" s="98"/>
      <c r="VHT130" s="98"/>
      <c r="VHU130" s="98"/>
      <c r="VHV130" s="98"/>
      <c r="VHW130" s="98"/>
      <c r="VHX130" s="98"/>
      <c r="VHY130" s="98"/>
      <c r="VHZ130" s="98"/>
      <c r="VIA130" s="98"/>
      <c r="VIB130" s="98"/>
      <c r="VIC130" s="98"/>
      <c r="VID130" s="98"/>
      <c r="VIE130" s="98"/>
      <c r="VIF130" s="98"/>
      <c r="VIG130" s="98"/>
      <c r="VIH130" s="98"/>
      <c r="VII130" s="98"/>
      <c r="VIJ130" s="98"/>
      <c r="VIK130" s="98"/>
      <c r="VIL130" s="98"/>
      <c r="VIM130" s="98"/>
      <c r="VIN130" s="98"/>
      <c r="VIO130" s="98"/>
      <c r="VIP130" s="98"/>
      <c r="VIQ130" s="98"/>
      <c r="VIR130" s="98"/>
      <c r="VIS130" s="98"/>
      <c r="VIT130" s="98"/>
      <c r="VIU130" s="98"/>
      <c r="VIV130" s="98"/>
      <c r="VIW130" s="98"/>
      <c r="VIX130" s="98"/>
      <c r="VIY130" s="98"/>
      <c r="VIZ130" s="98"/>
      <c r="VJA130" s="98"/>
      <c r="VJB130" s="98"/>
      <c r="VJC130" s="98"/>
      <c r="VJD130" s="98"/>
      <c r="VJE130" s="98"/>
      <c r="VJF130" s="98"/>
      <c r="VJG130" s="98"/>
      <c r="VJH130" s="98"/>
      <c r="VJI130" s="98"/>
      <c r="VJJ130" s="98"/>
      <c r="VJK130" s="98"/>
      <c r="VJL130" s="98"/>
      <c r="VJM130" s="98"/>
      <c r="VJN130" s="98"/>
      <c r="VJO130" s="98"/>
      <c r="VJP130" s="98"/>
      <c r="VJQ130" s="98"/>
      <c r="VJR130" s="98"/>
      <c r="VJS130" s="98"/>
      <c r="VJT130" s="98"/>
      <c r="VJU130" s="98"/>
      <c r="VJV130" s="98"/>
      <c r="VJW130" s="98"/>
      <c r="VJX130" s="98"/>
      <c r="VJY130" s="98"/>
      <c r="VJZ130" s="98"/>
      <c r="VKA130" s="98"/>
      <c r="VKB130" s="98"/>
      <c r="VKC130" s="98"/>
      <c r="VKD130" s="98"/>
      <c r="VKE130" s="98"/>
      <c r="VKF130" s="98"/>
      <c r="VKG130" s="98"/>
      <c r="VKH130" s="98"/>
      <c r="VKI130" s="98"/>
      <c r="VKJ130" s="98"/>
      <c r="VKK130" s="98"/>
      <c r="VKL130" s="98"/>
      <c r="VKM130" s="98"/>
      <c r="VKN130" s="98"/>
      <c r="VKO130" s="98"/>
      <c r="VKP130" s="98"/>
      <c r="VKQ130" s="98"/>
      <c r="VKR130" s="98"/>
      <c r="VKS130" s="98"/>
      <c r="VKT130" s="98"/>
      <c r="VKU130" s="98"/>
      <c r="VKV130" s="98"/>
      <c r="VKW130" s="98"/>
      <c r="VKX130" s="98"/>
      <c r="VKY130" s="98"/>
      <c r="VKZ130" s="98"/>
      <c r="VLA130" s="98"/>
      <c r="VLB130" s="98"/>
      <c r="VLC130" s="98"/>
      <c r="VLD130" s="98"/>
      <c r="VLE130" s="98"/>
      <c r="VLF130" s="98"/>
      <c r="VLG130" s="98"/>
      <c r="VLH130" s="98"/>
      <c r="VLI130" s="98"/>
      <c r="VLJ130" s="98"/>
      <c r="VLK130" s="98"/>
      <c r="VLL130" s="98"/>
      <c r="VLM130" s="98"/>
      <c r="VLN130" s="98"/>
      <c r="VLO130" s="98"/>
      <c r="VLP130" s="98"/>
      <c r="VLQ130" s="98"/>
      <c r="VLR130" s="98"/>
      <c r="VLS130" s="98"/>
      <c r="VLT130" s="98"/>
      <c r="VLU130" s="98"/>
      <c r="VLV130" s="98"/>
      <c r="VLW130" s="98"/>
      <c r="VLX130" s="98"/>
      <c r="VLY130" s="98"/>
      <c r="VLZ130" s="98"/>
      <c r="VMA130" s="98"/>
      <c r="VMB130" s="98"/>
      <c r="VMC130" s="98"/>
      <c r="VMD130" s="98"/>
      <c r="VME130" s="98"/>
      <c r="VMF130" s="98"/>
      <c r="VMG130" s="98"/>
      <c r="VMH130" s="98"/>
      <c r="VMI130" s="98"/>
      <c r="VMJ130" s="98"/>
      <c r="VMK130" s="98"/>
      <c r="VML130" s="98"/>
      <c r="VMM130" s="98"/>
      <c r="VMN130" s="98"/>
      <c r="VMO130" s="98"/>
      <c r="VMP130" s="98"/>
      <c r="VMQ130" s="98"/>
      <c r="VMR130" s="98"/>
      <c r="VMS130" s="98"/>
      <c r="VMT130" s="98"/>
      <c r="VMU130" s="98"/>
      <c r="VMV130" s="98"/>
      <c r="VMW130" s="98"/>
      <c r="VMX130" s="98"/>
      <c r="VMY130" s="98"/>
      <c r="VMZ130" s="98"/>
      <c r="VNA130" s="98"/>
      <c r="VNB130" s="98"/>
      <c r="VNC130" s="98"/>
      <c r="VND130" s="98"/>
      <c r="VNE130" s="98"/>
      <c r="VNF130" s="98"/>
      <c r="VNG130" s="98"/>
      <c r="VNH130" s="98"/>
      <c r="VNI130" s="98"/>
      <c r="VNJ130" s="98"/>
      <c r="VNK130" s="98"/>
      <c r="VNL130" s="98"/>
      <c r="VNM130" s="98"/>
      <c r="VNN130" s="98"/>
      <c r="VNO130" s="98"/>
      <c r="VNP130" s="98"/>
      <c r="VNQ130" s="98"/>
      <c r="VNR130" s="98"/>
      <c r="VNS130" s="98"/>
      <c r="VNT130" s="98"/>
      <c r="VNU130" s="98"/>
      <c r="VNV130" s="98"/>
      <c r="VNW130" s="98"/>
      <c r="VNX130" s="98"/>
      <c r="VNY130" s="98"/>
      <c r="VNZ130" s="98"/>
      <c r="VOA130" s="98"/>
      <c r="VOB130" s="98"/>
      <c r="VOC130" s="98"/>
      <c r="VOD130" s="98"/>
      <c r="VOE130" s="98"/>
      <c r="VOF130" s="98"/>
      <c r="VOG130" s="98"/>
      <c r="VOH130" s="98"/>
      <c r="VOI130" s="98"/>
      <c r="VOJ130" s="98"/>
      <c r="VOK130" s="98"/>
      <c r="VOL130" s="98"/>
      <c r="VOM130" s="98"/>
      <c r="VON130" s="98"/>
      <c r="VOO130" s="98"/>
      <c r="VOP130" s="98"/>
      <c r="VOQ130" s="98"/>
      <c r="VOR130" s="98"/>
      <c r="VOS130" s="98"/>
      <c r="VOT130" s="98"/>
      <c r="VOU130" s="98"/>
      <c r="VOV130" s="98"/>
      <c r="VOW130" s="98"/>
      <c r="VOX130" s="98"/>
      <c r="VOY130" s="98"/>
      <c r="VOZ130" s="98"/>
      <c r="VPA130" s="98"/>
      <c r="VPB130" s="98"/>
      <c r="VPC130" s="98"/>
      <c r="VPD130" s="98"/>
      <c r="VPE130" s="98"/>
      <c r="VPF130" s="98"/>
      <c r="VPG130" s="98"/>
      <c r="VPH130" s="98"/>
      <c r="VPI130" s="98"/>
      <c r="VPJ130" s="98"/>
      <c r="VPK130" s="98"/>
      <c r="VPL130" s="98"/>
      <c r="VPM130" s="98"/>
      <c r="VPN130" s="98"/>
      <c r="VPO130" s="98"/>
      <c r="VPP130" s="98"/>
      <c r="VPQ130" s="98"/>
      <c r="VPR130" s="98"/>
      <c r="VPS130" s="98"/>
      <c r="VPT130" s="98"/>
      <c r="VPU130" s="98"/>
      <c r="VPV130" s="98"/>
      <c r="VPW130" s="98"/>
      <c r="VPX130" s="98"/>
      <c r="VPY130" s="98"/>
      <c r="VPZ130" s="98"/>
      <c r="VQA130" s="98"/>
      <c r="VQB130" s="98"/>
      <c r="VQC130" s="98"/>
      <c r="VQD130" s="98"/>
      <c r="VQE130" s="98"/>
      <c r="VQF130" s="98"/>
      <c r="VQG130" s="98"/>
      <c r="VQH130" s="98"/>
      <c r="VQI130" s="98"/>
      <c r="VQJ130" s="98"/>
      <c r="VQK130" s="98"/>
      <c r="VQL130" s="98"/>
      <c r="VQM130" s="98"/>
      <c r="VQN130" s="98"/>
      <c r="VQO130" s="98"/>
      <c r="VQP130" s="98"/>
      <c r="VQQ130" s="98"/>
      <c r="VQR130" s="98"/>
      <c r="VQS130" s="98"/>
      <c r="VQT130" s="98"/>
      <c r="VQU130" s="98"/>
      <c r="VQV130" s="98"/>
      <c r="VQW130" s="98"/>
      <c r="VQX130" s="98"/>
      <c r="VQY130" s="98"/>
      <c r="VQZ130" s="98"/>
      <c r="VRA130" s="98"/>
      <c r="VRB130" s="98"/>
      <c r="VRC130" s="98"/>
      <c r="VRD130" s="98"/>
      <c r="VRE130" s="98"/>
      <c r="VRF130" s="98"/>
      <c r="VRG130" s="98"/>
      <c r="VRH130" s="98"/>
      <c r="VRI130" s="98"/>
      <c r="VRJ130" s="98"/>
      <c r="VRK130" s="98"/>
      <c r="VRL130" s="98"/>
      <c r="VRM130" s="98"/>
      <c r="VRN130" s="98"/>
      <c r="VRO130" s="98"/>
      <c r="VRP130" s="98"/>
      <c r="VRQ130" s="98"/>
      <c r="VRR130" s="98"/>
      <c r="VRS130" s="98"/>
      <c r="VRT130" s="98"/>
      <c r="VRU130" s="98"/>
      <c r="VRV130" s="98"/>
      <c r="VRW130" s="98"/>
      <c r="VRX130" s="98"/>
      <c r="VRY130" s="98"/>
      <c r="VRZ130" s="98"/>
      <c r="VSA130" s="98"/>
      <c r="VSB130" s="98"/>
      <c r="VSC130" s="98"/>
      <c r="VSD130" s="98"/>
      <c r="VSE130" s="98"/>
      <c r="VSF130" s="98"/>
      <c r="VSG130" s="98"/>
      <c r="VSH130" s="98"/>
      <c r="VSI130" s="98"/>
      <c r="VSJ130" s="98"/>
      <c r="VSK130" s="98"/>
      <c r="VSL130" s="98"/>
      <c r="VSM130" s="98"/>
      <c r="VSN130" s="98"/>
      <c r="VSO130" s="98"/>
      <c r="VSP130" s="98"/>
      <c r="VSQ130" s="98"/>
      <c r="VSR130" s="98"/>
      <c r="VSS130" s="98"/>
      <c r="VST130" s="98"/>
      <c r="VSU130" s="98"/>
      <c r="VSV130" s="98"/>
      <c r="VSW130" s="98"/>
      <c r="VSX130" s="98"/>
      <c r="VSY130" s="98"/>
      <c r="VSZ130" s="98"/>
      <c r="VTA130" s="98"/>
      <c r="VTB130" s="98"/>
      <c r="VTC130" s="98"/>
      <c r="VTD130" s="98"/>
      <c r="VTE130" s="98"/>
      <c r="VTF130" s="98"/>
      <c r="VTG130" s="98"/>
      <c r="VTH130" s="98"/>
      <c r="VTI130" s="98"/>
      <c r="VTJ130" s="98"/>
      <c r="VTK130" s="98"/>
      <c r="VTL130" s="98"/>
      <c r="VTM130" s="98"/>
      <c r="VTN130" s="98"/>
      <c r="VTO130" s="98"/>
      <c r="VTP130" s="98"/>
      <c r="VTQ130" s="98"/>
      <c r="VTR130" s="98"/>
      <c r="VTS130" s="98"/>
      <c r="VTT130" s="98"/>
      <c r="VTU130" s="98"/>
      <c r="VTV130" s="98"/>
      <c r="VTW130" s="98"/>
      <c r="VTX130" s="98"/>
      <c r="VTY130" s="98"/>
      <c r="VTZ130" s="98"/>
      <c r="VUA130" s="98"/>
      <c r="VUB130" s="98"/>
      <c r="VUC130" s="98"/>
      <c r="VUD130" s="98"/>
      <c r="VUE130" s="98"/>
      <c r="VUF130" s="98"/>
      <c r="VUG130" s="98"/>
      <c r="VUH130" s="98"/>
      <c r="VUI130" s="98"/>
      <c r="VUJ130" s="98"/>
      <c r="VUK130" s="98"/>
      <c r="VUL130" s="98"/>
      <c r="VUM130" s="98"/>
      <c r="VUN130" s="98"/>
      <c r="VUO130" s="98"/>
      <c r="VUP130" s="98"/>
      <c r="VUQ130" s="98"/>
      <c r="VUR130" s="98"/>
      <c r="VUS130" s="98"/>
      <c r="VUT130" s="98"/>
      <c r="VUU130" s="98"/>
      <c r="VUV130" s="98"/>
      <c r="VUW130" s="98"/>
      <c r="VUX130" s="98"/>
      <c r="VUY130" s="98"/>
      <c r="VUZ130" s="98"/>
      <c r="VVA130" s="98"/>
      <c r="VVB130" s="98"/>
      <c r="VVC130" s="98"/>
      <c r="VVD130" s="98"/>
      <c r="VVE130" s="98"/>
      <c r="VVF130" s="98"/>
      <c r="VVG130" s="98"/>
      <c r="VVH130" s="98"/>
      <c r="VVI130" s="98"/>
      <c r="VVJ130" s="98"/>
      <c r="VVK130" s="98"/>
      <c r="VVL130" s="98"/>
      <c r="VVM130" s="98"/>
      <c r="VVN130" s="98"/>
      <c r="VVO130" s="98"/>
      <c r="VVP130" s="98"/>
      <c r="VVQ130" s="98"/>
      <c r="VVR130" s="98"/>
      <c r="VVS130" s="98"/>
      <c r="VVT130" s="98"/>
      <c r="VVU130" s="98"/>
      <c r="VVV130" s="98"/>
      <c r="VVW130" s="98"/>
      <c r="VVX130" s="98"/>
      <c r="VVY130" s="98"/>
      <c r="VVZ130" s="98"/>
      <c r="VWA130" s="98"/>
      <c r="VWB130" s="98"/>
      <c r="VWC130" s="98"/>
      <c r="VWD130" s="98"/>
      <c r="VWE130" s="98"/>
      <c r="VWF130" s="98"/>
      <c r="VWG130" s="98"/>
      <c r="VWH130" s="98"/>
      <c r="VWI130" s="98"/>
      <c r="VWJ130" s="98"/>
      <c r="VWK130" s="98"/>
      <c r="VWL130" s="98"/>
      <c r="VWM130" s="98"/>
      <c r="VWN130" s="98"/>
      <c r="VWO130" s="98"/>
      <c r="VWP130" s="98"/>
      <c r="VWQ130" s="98"/>
      <c r="VWR130" s="98"/>
      <c r="VWS130" s="98"/>
      <c r="VWT130" s="98"/>
      <c r="VWU130" s="98"/>
      <c r="VWV130" s="98"/>
      <c r="VWW130" s="98"/>
      <c r="VWX130" s="98"/>
      <c r="VWY130" s="98"/>
      <c r="VWZ130" s="98"/>
      <c r="VXA130" s="98"/>
      <c r="VXB130" s="98"/>
      <c r="VXC130" s="98"/>
      <c r="VXD130" s="98"/>
      <c r="VXE130" s="98"/>
      <c r="VXF130" s="98"/>
      <c r="VXG130" s="98"/>
      <c r="VXH130" s="98"/>
      <c r="VXI130" s="98"/>
      <c r="VXJ130" s="98"/>
      <c r="VXK130" s="98"/>
      <c r="VXL130" s="98"/>
      <c r="VXM130" s="98"/>
      <c r="VXN130" s="98"/>
      <c r="VXO130" s="98"/>
      <c r="VXP130" s="98"/>
      <c r="VXQ130" s="98"/>
      <c r="VXR130" s="98"/>
      <c r="VXS130" s="98"/>
      <c r="VXT130" s="98"/>
      <c r="VXU130" s="98"/>
      <c r="VXV130" s="98"/>
      <c r="VXW130" s="98"/>
      <c r="VXX130" s="98"/>
      <c r="VXY130" s="98"/>
      <c r="VXZ130" s="98"/>
      <c r="VYA130" s="98"/>
      <c r="VYB130" s="98"/>
      <c r="VYC130" s="98"/>
      <c r="VYD130" s="98"/>
      <c r="VYE130" s="98"/>
      <c r="VYF130" s="98"/>
      <c r="VYG130" s="98"/>
      <c r="VYH130" s="98"/>
      <c r="VYI130" s="98"/>
      <c r="VYJ130" s="98"/>
      <c r="VYK130" s="98"/>
      <c r="VYL130" s="98"/>
      <c r="VYM130" s="98"/>
      <c r="VYN130" s="98"/>
      <c r="VYO130" s="98"/>
      <c r="VYP130" s="98"/>
      <c r="VYQ130" s="98"/>
      <c r="VYR130" s="98"/>
      <c r="VYS130" s="98"/>
      <c r="VYT130" s="98"/>
      <c r="VYU130" s="98"/>
      <c r="VYV130" s="98"/>
      <c r="VYW130" s="98"/>
      <c r="VYX130" s="98"/>
      <c r="VYY130" s="98"/>
      <c r="VYZ130" s="98"/>
      <c r="VZA130" s="98"/>
      <c r="VZB130" s="98"/>
      <c r="VZC130" s="98"/>
      <c r="VZD130" s="98"/>
      <c r="VZE130" s="98"/>
      <c r="VZF130" s="98"/>
      <c r="VZG130" s="98"/>
      <c r="VZH130" s="98"/>
      <c r="VZI130" s="98"/>
      <c r="VZJ130" s="98"/>
      <c r="VZK130" s="98"/>
      <c r="VZL130" s="98"/>
      <c r="VZM130" s="98"/>
      <c r="VZN130" s="98"/>
      <c r="VZO130" s="98"/>
      <c r="VZP130" s="98"/>
      <c r="VZQ130" s="98"/>
      <c r="VZR130" s="98"/>
      <c r="VZS130" s="98"/>
      <c r="VZT130" s="98"/>
      <c r="VZU130" s="98"/>
      <c r="VZV130" s="98"/>
      <c r="VZW130" s="98"/>
      <c r="VZX130" s="98"/>
      <c r="VZY130" s="98"/>
      <c r="VZZ130" s="98"/>
      <c r="WAA130" s="98"/>
      <c r="WAB130" s="98"/>
      <c r="WAC130" s="98"/>
      <c r="WAD130" s="98"/>
      <c r="WAE130" s="98"/>
      <c r="WAF130" s="98"/>
      <c r="WAG130" s="98"/>
      <c r="WAH130" s="98"/>
      <c r="WAI130" s="98"/>
      <c r="WAJ130" s="98"/>
      <c r="WAK130" s="98"/>
      <c r="WAL130" s="98"/>
      <c r="WAM130" s="98"/>
      <c r="WAN130" s="98"/>
      <c r="WAO130" s="98"/>
      <c r="WAP130" s="98"/>
      <c r="WAQ130" s="98"/>
      <c r="WAR130" s="98"/>
      <c r="WAS130" s="98"/>
      <c r="WAT130" s="98"/>
      <c r="WAU130" s="98"/>
      <c r="WAV130" s="98"/>
      <c r="WAW130" s="98"/>
      <c r="WAX130" s="98"/>
      <c r="WAY130" s="98"/>
      <c r="WAZ130" s="98"/>
      <c r="WBA130" s="98"/>
      <c r="WBB130" s="98"/>
      <c r="WBC130" s="98"/>
      <c r="WBD130" s="98"/>
      <c r="WBE130" s="98"/>
      <c r="WBF130" s="98"/>
      <c r="WBG130" s="98"/>
      <c r="WBH130" s="98"/>
      <c r="WBI130" s="98"/>
      <c r="WBJ130" s="98"/>
      <c r="WBK130" s="98"/>
      <c r="WBL130" s="98"/>
      <c r="WBM130" s="98"/>
      <c r="WBN130" s="98"/>
      <c r="WBO130" s="98"/>
      <c r="WBP130" s="98"/>
      <c r="WBQ130" s="98"/>
      <c r="WBR130" s="98"/>
      <c r="WBS130" s="98"/>
      <c r="WBT130" s="98"/>
      <c r="WBU130" s="98"/>
      <c r="WBV130" s="98"/>
      <c r="WBW130" s="98"/>
      <c r="WBX130" s="98"/>
      <c r="WBY130" s="98"/>
      <c r="WBZ130" s="98"/>
      <c r="WCA130" s="98"/>
      <c r="WCB130" s="98"/>
      <c r="WCC130" s="98"/>
      <c r="WCD130" s="98"/>
      <c r="WCE130" s="98"/>
      <c r="WCF130" s="98"/>
      <c r="WCG130" s="98"/>
      <c r="WCH130" s="98"/>
      <c r="WCI130" s="98"/>
      <c r="WCJ130" s="98"/>
      <c r="WCK130" s="98"/>
      <c r="WCL130" s="98"/>
      <c r="WCM130" s="98"/>
      <c r="WCN130" s="98"/>
      <c r="WCO130" s="98"/>
      <c r="WCP130" s="98"/>
      <c r="WCQ130" s="98"/>
      <c r="WCR130" s="98"/>
      <c r="WCS130" s="98"/>
      <c r="WCT130" s="98"/>
      <c r="WCU130" s="98"/>
      <c r="WCV130" s="98"/>
      <c r="WCW130" s="98"/>
      <c r="WCX130" s="98"/>
      <c r="WCY130" s="98"/>
      <c r="WCZ130" s="98"/>
      <c r="WDA130" s="98"/>
      <c r="WDB130" s="98"/>
      <c r="WDC130" s="98"/>
      <c r="WDD130" s="98"/>
      <c r="WDE130" s="98"/>
      <c r="WDF130" s="98"/>
      <c r="WDG130" s="98"/>
      <c r="WDH130" s="98"/>
      <c r="WDI130" s="98"/>
      <c r="WDJ130" s="98"/>
      <c r="WDK130" s="98"/>
      <c r="WDL130" s="98"/>
      <c r="WDM130" s="98"/>
      <c r="WDN130" s="98"/>
      <c r="WDO130" s="98"/>
      <c r="WDP130" s="98"/>
      <c r="WDQ130" s="98"/>
      <c r="WDR130" s="98"/>
      <c r="WDS130" s="98"/>
      <c r="WDT130" s="98"/>
      <c r="WDU130" s="98"/>
      <c r="WDV130" s="98"/>
      <c r="WDW130" s="98"/>
      <c r="WDX130" s="98"/>
      <c r="WDY130" s="98"/>
      <c r="WDZ130" s="98"/>
      <c r="WEA130" s="98"/>
      <c r="WEB130" s="98"/>
      <c r="WEC130" s="98"/>
      <c r="WED130" s="98"/>
      <c r="WEE130" s="98"/>
      <c r="WEF130" s="98"/>
      <c r="WEG130" s="98"/>
      <c r="WEH130" s="98"/>
      <c r="WEI130" s="98"/>
      <c r="WEJ130" s="98"/>
      <c r="WEK130" s="98"/>
      <c r="WEL130" s="98"/>
      <c r="WEM130" s="98"/>
      <c r="WEN130" s="98"/>
      <c r="WEO130" s="98"/>
      <c r="WEP130" s="98"/>
      <c r="WEQ130" s="98"/>
      <c r="WER130" s="98"/>
      <c r="WES130" s="98"/>
      <c r="WET130" s="98"/>
      <c r="WEU130" s="98"/>
      <c r="WEV130" s="98"/>
      <c r="WEW130" s="98"/>
      <c r="WEX130" s="98"/>
      <c r="WEY130" s="98"/>
      <c r="WEZ130" s="98"/>
      <c r="WFA130" s="98"/>
      <c r="WFB130" s="98"/>
      <c r="WFC130" s="98"/>
      <c r="WFD130" s="98"/>
      <c r="WFE130" s="98"/>
      <c r="WFF130" s="98"/>
      <c r="WFG130" s="98"/>
      <c r="WFH130" s="98"/>
      <c r="WFI130" s="98"/>
      <c r="WFJ130" s="98"/>
      <c r="WFK130" s="98"/>
      <c r="WFL130" s="98"/>
      <c r="WFM130" s="98"/>
      <c r="WFN130" s="98"/>
      <c r="WFO130" s="98"/>
      <c r="WFP130" s="98"/>
      <c r="WFQ130" s="98"/>
      <c r="WFR130" s="98"/>
      <c r="WFS130" s="98"/>
      <c r="WFT130" s="98"/>
      <c r="WFU130" s="98"/>
      <c r="WFV130" s="98"/>
      <c r="WFW130" s="98"/>
      <c r="WFX130" s="98"/>
      <c r="WFY130" s="98"/>
      <c r="WFZ130" s="98"/>
      <c r="WGA130" s="98"/>
      <c r="WGB130" s="98"/>
      <c r="WGC130" s="98"/>
      <c r="WGD130" s="98"/>
      <c r="WGE130" s="98"/>
      <c r="WGF130" s="98"/>
      <c r="WGG130" s="98"/>
      <c r="WGH130" s="98"/>
      <c r="WGI130" s="98"/>
      <c r="WGJ130" s="98"/>
      <c r="WGK130" s="98"/>
      <c r="WGL130" s="98"/>
      <c r="WGM130" s="98"/>
      <c r="WGN130" s="98"/>
      <c r="WGO130" s="98"/>
      <c r="WGP130" s="98"/>
      <c r="WGQ130" s="98"/>
      <c r="WGR130" s="98"/>
      <c r="WGS130" s="98"/>
      <c r="WGT130" s="98"/>
      <c r="WGU130" s="98"/>
      <c r="WGV130" s="98"/>
      <c r="WGW130" s="98"/>
      <c r="WGX130" s="98"/>
      <c r="WGY130" s="98"/>
      <c r="WGZ130" s="98"/>
      <c r="WHA130" s="98"/>
      <c r="WHB130" s="98"/>
      <c r="WHC130" s="98"/>
      <c r="WHD130" s="98"/>
      <c r="WHE130" s="98"/>
      <c r="WHF130" s="98"/>
      <c r="WHG130" s="98"/>
      <c r="WHH130" s="98"/>
      <c r="WHI130" s="98"/>
      <c r="WHJ130" s="98"/>
      <c r="WHK130" s="98"/>
      <c r="WHL130" s="98"/>
      <c r="WHM130" s="98"/>
      <c r="WHN130" s="98"/>
      <c r="WHO130" s="98"/>
      <c r="WHP130" s="98"/>
      <c r="WHQ130" s="98"/>
      <c r="WHR130" s="98"/>
      <c r="WHS130" s="98"/>
      <c r="WHT130" s="98"/>
      <c r="WHU130" s="98"/>
      <c r="WHV130" s="98"/>
      <c r="WHW130" s="98"/>
      <c r="WHX130" s="98"/>
      <c r="WHY130" s="98"/>
      <c r="WHZ130" s="98"/>
      <c r="WIA130" s="98"/>
      <c r="WIB130" s="98"/>
      <c r="WIC130" s="98"/>
      <c r="WID130" s="98"/>
      <c r="WIE130" s="98"/>
      <c r="WIF130" s="98"/>
      <c r="WIG130" s="98"/>
      <c r="WIH130" s="98"/>
      <c r="WII130" s="98"/>
      <c r="WIJ130" s="98"/>
      <c r="WIK130" s="98"/>
      <c r="WIL130" s="98"/>
      <c r="WIM130" s="98"/>
      <c r="WIN130" s="98"/>
      <c r="WIO130" s="98"/>
      <c r="WIP130" s="98"/>
      <c r="WIQ130" s="98"/>
      <c r="WIR130" s="98"/>
      <c r="WIS130" s="98"/>
      <c r="WIT130" s="98"/>
      <c r="WIU130" s="98"/>
      <c r="WIV130" s="98"/>
      <c r="WIW130" s="98"/>
      <c r="WIX130" s="98"/>
      <c r="WIY130" s="98"/>
      <c r="WIZ130" s="98"/>
      <c r="WJA130" s="98"/>
      <c r="WJB130" s="98"/>
      <c r="WJC130" s="98"/>
      <c r="WJD130" s="98"/>
      <c r="WJE130" s="98"/>
      <c r="WJF130" s="98"/>
      <c r="WJG130" s="98"/>
      <c r="WJH130" s="98"/>
      <c r="WJI130" s="98"/>
      <c r="WJJ130" s="98"/>
      <c r="WJK130" s="98"/>
      <c r="WJL130" s="98"/>
      <c r="WJM130" s="98"/>
      <c r="WJN130" s="98"/>
      <c r="WJO130" s="98"/>
      <c r="WJP130" s="98"/>
      <c r="WJQ130" s="98"/>
      <c r="WJR130" s="98"/>
      <c r="WJS130" s="98"/>
      <c r="WJT130" s="98"/>
      <c r="WJU130" s="98"/>
      <c r="WJV130" s="98"/>
      <c r="WJW130" s="98"/>
      <c r="WJX130" s="98"/>
      <c r="WJY130" s="98"/>
      <c r="WJZ130" s="98"/>
      <c r="WKA130" s="98"/>
      <c r="WKB130" s="98"/>
      <c r="WKC130" s="98"/>
      <c r="WKD130" s="98"/>
      <c r="WKE130" s="98"/>
      <c r="WKF130" s="98"/>
      <c r="WKG130" s="98"/>
      <c r="WKH130" s="98"/>
      <c r="WKI130" s="98"/>
      <c r="WKJ130" s="98"/>
      <c r="WKK130" s="98"/>
      <c r="WKL130" s="98"/>
      <c r="WKM130" s="98"/>
      <c r="WKN130" s="98"/>
      <c r="WKO130" s="98"/>
      <c r="WKP130" s="98"/>
      <c r="WKQ130" s="98"/>
      <c r="WKR130" s="98"/>
      <c r="WKS130" s="98"/>
      <c r="WKT130" s="98"/>
      <c r="WKU130" s="98"/>
      <c r="WKV130" s="98"/>
      <c r="WKW130" s="98"/>
      <c r="WKX130" s="98"/>
      <c r="WKY130" s="98"/>
      <c r="WKZ130" s="98"/>
      <c r="WLA130" s="98"/>
      <c r="WLB130" s="98"/>
      <c r="WLC130" s="98"/>
      <c r="WLD130" s="98"/>
      <c r="WLE130" s="98"/>
      <c r="WLF130" s="98"/>
      <c r="WLG130" s="98"/>
      <c r="WLH130" s="98"/>
      <c r="WLI130" s="98"/>
      <c r="WLJ130" s="98"/>
      <c r="WLK130" s="98"/>
      <c r="WLL130" s="98"/>
      <c r="WLM130" s="98"/>
      <c r="WLN130" s="98"/>
      <c r="WLO130" s="98"/>
      <c r="WLP130" s="98"/>
      <c r="WLQ130" s="98"/>
      <c r="WLR130" s="98"/>
      <c r="WLS130" s="98"/>
      <c r="WLT130" s="98"/>
      <c r="WLU130" s="98"/>
      <c r="WLV130" s="98"/>
      <c r="WLW130" s="98"/>
      <c r="WLX130" s="98"/>
      <c r="WLY130" s="98"/>
      <c r="WLZ130" s="98"/>
      <c r="WMA130" s="98"/>
      <c r="WMB130" s="98"/>
      <c r="WMC130" s="98"/>
      <c r="WMD130" s="98"/>
      <c r="WME130" s="98"/>
      <c r="WMF130" s="98"/>
      <c r="WMG130" s="98"/>
      <c r="WMH130" s="98"/>
      <c r="WMI130" s="98"/>
      <c r="WMJ130" s="98"/>
      <c r="WMK130" s="98"/>
      <c r="WML130" s="98"/>
      <c r="WMM130" s="98"/>
      <c r="WMN130" s="98"/>
      <c r="WMO130" s="98"/>
      <c r="WMP130" s="98"/>
      <c r="WMQ130" s="98"/>
      <c r="WMR130" s="98"/>
      <c r="WMS130" s="98"/>
      <c r="WMT130" s="98"/>
      <c r="WMU130" s="98"/>
      <c r="WMV130" s="98"/>
      <c r="WMW130" s="98"/>
      <c r="WMX130" s="98"/>
      <c r="WMY130" s="98"/>
      <c r="WMZ130" s="98"/>
      <c r="WNA130" s="98"/>
      <c r="WNB130" s="98"/>
      <c r="WNC130" s="98"/>
      <c r="WND130" s="98"/>
      <c r="WNE130" s="98"/>
      <c r="WNF130" s="98"/>
      <c r="WNG130" s="98"/>
      <c r="WNH130" s="98"/>
      <c r="WNI130" s="98"/>
      <c r="WNJ130" s="98"/>
      <c r="WNK130" s="98"/>
      <c r="WNL130" s="98"/>
      <c r="WNM130" s="98"/>
      <c r="WNN130" s="98"/>
      <c r="WNO130" s="98"/>
      <c r="WNP130" s="98"/>
      <c r="WNQ130" s="98"/>
      <c r="WNR130" s="98"/>
      <c r="WNS130" s="98"/>
      <c r="WNT130" s="98"/>
      <c r="WNU130" s="98"/>
      <c r="WNV130" s="98"/>
      <c r="WNW130" s="98"/>
      <c r="WNX130" s="98"/>
      <c r="WNY130" s="98"/>
      <c r="WNZ130" s="98"/>
      <c r="WOA130" s="98"/>
      <c r="WOB130" s="98"/>
      <c r="WOC130" s="98"/>
      <c r="WOD130" s="98"/>
      <c r="WOE130" s="98"/>
      <c r="WOF130" s="98"/>
      <c r="WOG130" s="98"/>
      <c r="WOH130" s="98"/>
      <c r="WOI130" s="98"/>
      <c r="WOJ130" s="98"/>
      <c r="WOK130" s="98"/>
      <c r="WOL130" s="98"/>
      <c r="WOM130" s="98"/>
      <c r="WON130" s="98"/>
      <c r="WOO130" s="98"/>
      <c r="WOP130" s="98"/>
      <c r="WOQ130" s="98"/>
      <c r="WOR130" s="98"/>
      <c r="WOS130" s="98"/>
      <c r="WOT130" s="98"/>
      <c r="WOU130" s="98"/>
      <c r="WOV130" s="98"/>
      <c r="WOW130" s="98"/>
      <c r="WOX130" s="98"/>
      <c r="WOY130" s="98"/>
      <c r="WOZ130" s="98"/>
      <c r="WPA130" s="98"/>
      <c r="WPB130" s="98"/>
      <c r="WPC130" s="98"/>
      <c r="WPD130" s="98"/>
      <c r="WPE130" s="98"/>
      <c r="WPF130" s="98"/>
      <c r="WPG130" s="98"/>
      <c r="WPH130" s="98"/>
      <c r="WPI130" s="98"/>
      <c r="WPJ130" s="98"/>
      <c r="WPK130" s="98"/>
      <c r="WPL130" s="98"/>
      <c r="WPM130" s="98"/>
      <c r="WPN130" s="98"/>
      <c r="WPO130" s="98"/>
      <c r="WPP130" s="98"/>
      <c r="WPQ130" s="98"/>
      <c r="WPR130" s="98"/>
      <c r="WPS130" s="98"/>
      <c r="WPT130" s="98"/>
      <c r="WPU130" s="98"/>
      <c r="WPV130" s="98"/>
      <c r="WPW130" s="98"/>
      <c r="WPX130" s="98"/>
      <c r="WPY130" s="98"/>
      <c r="WPZ130" s="98"/>
      <c r="WQA130" s="98"/>
      <c r="WQB130" s="98"/>
      <c r="WQC130" s="98"/>
      <c r="WQD130" s="98"/>
      <c r="WQE130" s="98"/>
      <c r="WQF130" s="98"/>
      <c r="WQG130" s="98"/>
      <c r="WQH130" s="98"/>
      <c r="WQI130" s="98"/>
      <c r="WQJ130" s="98"/>
      <c r="WQK130" s="98"/>
      <c r="WQL130" s="98"/>
      <c r="WQM130" s="98"/>
      <c r="WQN130" s="98"/>
      <c r="WQO130" s="98"/>
      <c r="WQP130" s="98"/>
      <c r="WQQ130" s="98"/>
      <c r="WQR130" s="98"/>
      <c r="WQS130" s="98"/>
      <c r="WQT130" s="98"/>
      <c r="WQU130" s="98"/>
      <c r="WQV130" s="98"/>
      <c r="WQW130" s="98"/>
      <c r="WQX130" s="98"/>
      <c r="WQY130" s="98"/>
      <c r="WQZ130" s="98"/>
      <c r="WRA130" s="98"/>
      <c r="WRB130" s="98"/>
      <c r="WRC130" s="98"/>
      <c r="WRD130" s="98"/>
      <c r="WRE130" s="98"/>
      <c r="WRF130" s="98"/>
      <c r="WRG130" s="98"/>
      <c r="WRH130" s="98"/>
      <c r="WRI130" s="98"/>
      <c r="WRJ130" s="98"/>
      <c r="WRK130" s="98"/>
      <c r="WRL130" s="98"/>
      <c r="WRM130" s="98"/>
      <c r="WRN130" s="98"/>
      <c r="WRO130" s="98"/>
      <c r="WRP130" s="98"/>
      <c r="WRQ130" s="98"/>
      <c r="WRR130" s="98"/>
      <c r="WRS130" s="98"/>
      <c r="WRT130" s="98"/>
      <c r="WRU130" s="98"/>
      <c r="WRV130" s="98"/>
      <c r="WRW130" s="98"/>
      <c r="WRX130" s="98"/>
      <c r="WRY130" s="98"/>
      <c r="WRZ130" s="98"/>
      <c r="WSA130" s="98"/>
      <c r="WSB130" s="98"/>
      <c r="WSC130" s="98"/>
      <c r="WSD130" s="98"/>
      <c r="WSE130" s="98"/>
      <c r="WSF130" s="98"/>
      <c r="WSG130" s="98"/>
      <c r="WSH130" s="98"/>
      <c r="WSI130" s="98"/>
      <c r="WSJ130" s="98"/>
      <c r="WSK130" s="98"/>
      <c r="WSL130" s="98"/>
      <c r="WSM130" s="98"/>
      <c r="WSN130" s="98"/>
      <c r="WSO130" s="98"/>
      <c r="WSP130" s="98"/>
      <c r="WSQ130" s="98"/>
      <c r="WSR130" s="98"/>
      <c r="WSS130" s="98"/>
      <c r="WST130" s="98"/>
      <c r="WSU130" s="98"/>
      <c r="WSV130" s="98"/>
      <c r="WSW130" s="98"/>
      <c r="WSX130" s="98"/>
      <c r="WSY130" s="98"/>
      <c r="WSZ130" s="98"/>
      <c r="WTA130" s="98"/>
      <c r="WTB130" s="98"/>
      <c r="WTC130" s="98"/>
      <c r="WTD130" s="98"/>
      <c r="WTE130" s="98"/>
      <c r="WTF130" s="98"/>
      <c r="WTG130" s="98"/>
      <c r="WTH130" s="98"/>
      <c r="WTI130" s="98"/>
      <c r="WTJ130" s="98"/>
      <c r="WTK130" s="98"/>
      <c r="WTL130" s="98"/>
      <c r="WTM130" s="98"/>
      <c r="WTN130" s="98"/>
      <c r="WTO130" s="98"/>
      <c r="WTP130" s="98"/>
      <c r="WTQ130" s="98"/>
      <c r="WTR130" s="98"/>
      <c r="WTS130" s="98"/>
      <c r="WTT130" s="98"/>
      <c r="WTU130" s="98"/>
      <c r="WTV130" s="98"/>
      <c r="WTW130" s="98"/>
      <c r="WTX130" s="98"/>
      <c r="WTY130" s="98"/>
      <c r="WTZ130" s="98"/>
      <c r="WUA130" s="98"/>
      <c r="WUB130" s="98"/>
      <c r="WUC130" s="98"/>
      <c r="WUD130" s="98"/>
      <c r="WUE130" s="98"/>
      <c r="WUF130" s="98"/>
      <c r="WUG130" s="98"/>
      <c r="WUH130" s="98"/>
      <c r="WUI130" s="98"/>
      <c r="WUJ130" s="98"/>
      <c r="WUK130" s="98"/>
      <c r="WUL130" s="98"/>
      <c r="WUM130" s="98"/>
      <c r="WUN130" s="98"/>
      <c r="WUO130" s="98"/>
      <c r="WUP130" s="98"/>
      <c r="WUQ130" s="98"/>
      <c r="WUR130" s="98"/>
      <c r="WUS130" s="98"/>
      <c r="WUT130" s="98"/>
      <c r="WUU130" s="98"/>
      <c r="WUV130" s="98"/>
      <c r="WUW130" s="98"/>
      <c r="WUX130" s="98"/>
      <c r="WUY130" s="98"/>
      <c r="WUZ130" s="98"/>
      <c r="WVA130" s="98"/>
      <c r="WVB130" s="98"/>
      <c r="WVC130" s="98"/>
      <c r="WVD130" s="98"/>
      <c r="WVE130" s="98"/>
      <c r="WVF130" s="98"/>
      <c r="WVG130" s="98"/>
      <c r="WVH130" s="98"/>
      <c r="WVI130" s="98"/>
      <c r="WVJ130" s="98"/>
      <c r="WVK130" s="98"/>
      <c r="WVL130" s="98"/>
      <c r="WVM130" s="98"/>
      <c r="WVN130" s="98"/>
      <c r="WVO130" s="98"/>
      <c r="WVP130" s="98"/>
      <c r="WVQ130" s="98"/>
      <c r="WVR130" s="98"/>
      <c r="WVS130" s="98"/>
      <c r="WVT130" s="98"/>
      <c r="WVU130" s="98"/>
      <c r="WVV130" s="98"/>
      <c r="WVW130" s="98"/>
      <c r="WVX130" s="98"/>
      <c r="WVY130" s="98"/>
      <c r="WVZ130" s="98"/>
      <c r="WWA130" s="98"/>
      <c r="WWB130" s="98"/>
      <c r="WWC130" s="98"/>
      <c r="WWD130" s="98"/>
      <c r="WWE130" s="98"/>
      <c r="WWF130" s="98"/>
      <c r="WWG130" s="98"/>
      <c r="WWH130" s="98"/>
      <c r="WWI130" s="98"/>
      <c r="WWJ130" s="98"/>
      <c r="WWK130" s="98"/>
      <c r="WWL130" s="98"/>
      <c r="WWM130" s="98"/>
      <c r="WWN130" s="98"/>
      <c r="WWO130" s="98"/>
      <c r="WWP130" s="98"/>
      <c r="WWQ130" s="98"/>
      <c r="WWR130" s="98"/>
      <c r="WWS130" s="98"/>
      <c r="WWT130" s="98"/>
      <c r="WWU130" s="98"/>
      <c r="WWV130" s="98"/>
      <c r="WWW130" s="98"/>
      <c r="WWX130" s="98"/>
      <c r="WWY130" s="98"/>
      <c r="WWZ130" s="98"/>
      <c r="WXA130" s="98"/>
      <c r="WXB130" s="98"/>
      <c r="WXC130" s="98"/>
      <c r="WXD130" s="98"/>
      <c r="WXE130" s="98"/>
      <c r="WXF130" s="98"/>
      <c r="WXG130" s="98"/>
      <c r="WXH130" s="98"/>
      <c r="WXI130" s="98"/>
      <c r="WXJ130" s="98"/>
      <c r="WXK130" s="98"/>
      <c r="WXL130" s="98"/>
      <c r="WXM130" s="98"/>
      <c r="WXN130" s="98"/>
      <c r="WXO130" s="98"/>
      <c r="WXP130" s="98"/>
      <c r="WXQ130" s="98"/>
      <c r="WXR130" s="98"/>
      <c r="WXS130" s="98"/>
      <c r="WXT130" s="98"/>
      <c r="WXU130" s="98"/>
      <c r="WXV130" s="98"/>
      <c r="WXW130" s="98"/>
      <c r="WXX130" s="98"/>
      <c r="WXY130" s="98"/>
      <c r="WXZ130" s="98"/>
      <c r="WYA130" s="98"/>
      <c r="WYB130" s="98"/>
      <c r="WYC130" s="98"/>
      <c r="WYD130" s="98"/>
      <c r="WYE130" s="98"/>
      <c r="WYF130" s="98"/>
      <c r="WYG130" s="98"/>
      <c r="WYH130" s="98"/>
      <c r="WYI130" s="98"/>
      <c r="WYJ130" s="98"/>
      <c r="WYK130" s="98"/>
      <c r="WYL130" s="98"/>
      <c r="WYM130" s="98"/>
      <c r="WYN130" s="98"/>
      <c r="WYO130" s="98"/>
      <c r="WYP130" s="98"/>
      <c r="WYQ130" s="98"/>
      <c r="WYR130" s="98"/>
      <c r="WYS130" s="98"/>
      <c r="WYT130" s="98"/>
      <c r="WYU130" s="98"/>
      <c r="WYV130" s="98"/>
      <c r="WYW130" s="98"/>
      <c r="WYX130" s="98"/>
      <c r="WYY130" s="98"/>
      <c r="WYZ130" s="98"/>
      <c r="WZA130" s="98"/>
      <c r="WZB130" s="98"/>
      <c r="WZC130" s="98"/>
      <c r="WZD130" s="98"/>
      <c r="WZE130" s="98"/>
      <c r="WZF130" s="98"/>
      <c r="WZG130" s="98"/>
      <c r="WZH130" s="98"/>
      <c r="WZI130" s="98"/>
      <c r="WZJ130" s="98"/>
      <c r="WZK130" s="98"/>
      <c r="WZL130" s="98"/>
      <c r="WZM130" s="98"/>
      <c r="WZN130" s="98"/>
      <c r="WZO130" s="98"/>
      <c r="WZP130" s="98"/>
      <c r="WZQ130" s="98"/>
      <c r="WZR130" s="98"/>
      <c r="WZS130" s="98"/>
      <c r="WZT130" s="98"/>
      <c r="WZU130" s="98"/>
      <c r="WZV130" s="98"/>
      <c r="WZW130" s="98"/>
      <c r="WZX130" s="98"/>
      <c r="WZY130" s="98"/>
      <c r="WZZ130" s="98"/>
      <c r="XAA130" s="98"/>
      <c r="XAB130" s="98"/>
      <c r="XAC130" s="98"/>
      <c r="XAD130" s="98"/>
      <c r="XAE130" s="98"/>
      <c r="XAF130" s="98"/>
      <c r="XAG130" s="98"/>
      <c r="XAH130" s="98"/>
      <c r="XAI130" s="98"/>
      <c r="XAJ130" s="98"/>
      <c r="XAK130" s="98"/>
      <c r="XAL130" s="98"/>
      <c r="XAM130" s="98"/>
      <c r="XAN130" s="98"/>
      <c r="XAO130" s="98"/>
      <c r="XAP130" s="98"/>
      <c r="XAQ130" s="98"/>
      <c r="XAR130" s="98"/>
      <c r="XAS130" s="98"/>
      <c r="XAT130" s="98"/>
      <c r="XAU130" s="98"/>
      <c r="XAV130" s="98"/>
      <c r="XAW130" s="98"/>
      <c r="XAX130" s="98"/>
      <c r="XAY130" s="98"/>
      <c r="XAZ130" s="98"/>
      <c r="XBA130" s="98"/>
      <c r="XBB130" s="98"/>
      <c r="XBC130" s="98"/>
      <c r="XBD130" s="98"/>
      <c r="XBE130" s="98"/>
      <c r="XBF130" s="98"/>
      <c r="XBG130" s="98"/>
      <c r="XBH130" s="98"/>
      <c r="XBI130" s="98"/>
      <c r="XBJ130" s="98"/>
      <c r="XBK130" s="98"/>
      <c r="XBL130" s="98"/>
      <c r="XBM130" s="98"/>
      <c r="XBN130" s="98"/>
      <c r="XBO130" s="98"/>
      <c r="XBP130" s="98"/>
      <c r="XBQ130" s="98"/>
      <c r="XBR130" s="98"/>
      <c r="XBS130" s="98"/>
      <c r="XBT130" s="98"/>
      <c r="XBU130" s="98"/>
      <c r="XBV130" s="98"/>
      <c r="XBW130" s="98"/>
      <c r="XBX130" s="98"/>
      <c r="XBY130" s="98"/>
      <c r="XBZ130" s="98"/>
      <c r="XCA130" s="98"/>
      <c r="XCB130" s="98"/>
      <c r="XCC130" s="98"/>
      <c r="XCD130" s="98"/>
      <c r="XCE130" s="98"/>
      <c r="XCF130" s="98"/>
      <c r="XCG130" s="98"/>
      <c r="XCH130" s="98"/>
      <c r="XCI130" s="98"/>
      <c r="XCJ130" s="98"/>
      <c r="XCK130" s="98"/>
      <c r="XCL130" s="98"/>
      <c r="XCM130" s="98"/>
      <c r="XCN130" s="98"/>
      <c r="XCO130" s="98"/>
      <c r="XCP130" s="98"/>
      <c r="XCQ130" s="98"/>
      <c r="XCR130" s="98"/>
      <c r="XCS130" s="98"/>
      <c r="XCT130" s="98"/>
      <c r="XCU130" s="98"/>
      <c r="XCV130" s="98"/>
      <c r="XCW130" s="98"/>
      <c r="XCX130" s="98"/>
      <c r="XCY130" s="98"/>
      <c r="XCZ130" s="98"/>
      <c r="XDA130" s="98"/>
      <c r="XDB130" s="98"/>
      <c r="XDC130" s="98"/>
      <c r="XDD130" s="98"/>
      <c r="XDE130" s="98"/>
      <c r="XDF130" s="98"/>
      <c r="XDG130" s="98"/>
      <c r="XDH130" s="98"/>
      <c r="XDI130" s="98"/>
      <c r="XDJ130" s="98"/>
      <c r="XDK130" s="98"/>
      <c r="XDL130" s="98"/>
      <c r="XDM130" s="98"/>
      <c r="XDN130" s="98"/>
      <c r="XDO130" s="98"/>
      <c r="XDP130" s="98"/>
      <c r="XDQ130" s="98"/>
      <c r="XDR130" s="98"/>
      <c r="XDS130" s="98"/>
      <c r="XDT130" s="98"/>
      <c r="XDU130" s="98"/>
      <c r="XDV130" s="98"/>
      <c r="XDW130" s="98"/>
      <c r="XDX130" s="98"/>
      <c r="XDY130" s="98"/>
      <c r="XDZ130" s="98"/>
      <c r="XEA130" s="98"/>
      <c r="XEB130" s="98"/>
      <c r="XEC130" s="98"/>
      <c r="XED130" s="98"/>
      <c r="XEE130" s="98"/>
      <c r="XEF130" s="98"/>
      <c r="XEG130" s="98"/>
      <c r="XEH130" s="98"/>
      <c r="XEI130" s="98"/>
      <c r="XEJ130" s="98"/>
      <c r="XEK130" s="98"/>
      <c r="XEL130" s="98"/>
      <c r="XEM130" s="98"/>
      <c r="XEN130" s="98"/>
      <c r="XEO130" s="98"/>
      <c r="XEP130" s="98"/>
      <c r="XEQ130" s="98"/>
      <c r="XER130" s="98"/>
      <c r="XES130" s="98"/>
      <c r="XET130" s="98"/>
      <c r="XEU130" s="98"/>
      <c r="XEV130" s="98"/>
      <c r="XEW130" s="98"/>
      <c r="XEX130" s="98"/>
      <c r="XEY130" s="98"/>
      <c r="XEZ130" s="98"/>
      <c r="XFA130" s="98"/>
      <c r="XFB130" s="98"/>
      <c r="XFC130" s="98"/>
      <c r="XFD130" s="98"/>
    </row>
    <row r="131" spans="3:16384" x14ac:dyDescent="0.3">
      <c r="C131" s="51" t="s">
        <v>98</v>
      </c>
      <c r="D131" s="12"/>
      <c r="E131" s="137">
        <f>9+2+1</f>
        <v>12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6384" x14ac:dyDescent="0.3">
      <c r="C132" s="51" t="s">
        <v>99</v>
      </c>
      <c r="D132" s="11"/>
      <c r="E132" s="137">
        <v>15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6384" x14ac:dyDescent="0.3">
      <c r="C133" s="51" t="s">
        <v>100</v>
      </c>
      <c r="D133" s="10"/>
      <c r="E133" s="137"/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6384" x14ac:dyDescent="0.3">
      <c r="C134" s="50" t="s">
        <v>102</v>
      </c>
      <c r="D134" s="10"/>
      <c r="E134" s="137"/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6384" x14ac:dyDescent="0.3">
      <c r="C135" s="50" t="s">
        <v>148</v>
      </c>
      <c r="D135" s="10"/>
      <c r="E135" s="137"/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6384" x14ac:dyDescent="0.3">
      <c r="C136" s="50" t="s">
        <v>104</v>
      </c>
      <c r="D136" s="12"/>
      <c r="E136" s="137"/>
    </row>
    <row r="137" spans="3:16384" x14ac:dyDescent="0.3">
      <c r="C137" s="50" t="s">
        <v>25</v>
      </c>
      <c r="D137" s="10"/>
      <c r="E137" s="139">
        <v>8</v>
      </c>
    </row>
    <row r="138" spans="3:16384" x14ac:dyDescent="0.3">
      <c r="C138" s="50" t="s">
        <v>149</v>
      </c>
      <c r="D138" s="10"/>
      <c r="E138" s="139"/>
    </row>
    <row r="139" spans="3:16384" x14ac:dyDescent="0.3">
      <c r="C139" s="52" t="s">
        <v>26</v>
      </c>
      <c r="D139" s="15"/>
      <c r="E139" s="138">
        <f>328+48+123</f>
        <v>499</v>
      </c>
    </row>
    <row r="140" spans="3:16384" x14ac:dyDescent="0.3">
      <c r="E140" s="57"/>
      <c r="F140" s="57"/>
    </row>
    <row r="141" spans="3:16384" x14ac:dyDescent="0.3">
      <c r="C141" s="6" t="s">
        <v>119</v>
      </c>
      <c r="D141" s="7"/>
      <c r="E141" s="32"/>
      <c r="F141" s="26"/>
      <c r="G141" s="27"/>
    </row>
    <row r="142" spans="3:16384" x14ac:dyDescent="0.3">
      <c r="C142" s="99"/>
      <c r="D142" s="147"/>
      <c r="E142" s="100"/>
      <c r="F142" s="153" t="s">
        <v>171</v>
      </c>
      <c r="G142" s="30"/>
    </row>
    <row r="143" spans="3:16384" x14ac:dyDescent="0.3">
      <c r="C143" s="51"/>
      <c r="D143" s="10"/>
      <c r="E143" s="101" t="s">
        <v>120</v>
      </c>
      <c r="F143" s="153" t="s">
        <v>172</v>
      </c>
      <c r="G143" s="156" t="s">
        <v>12</v>
      </c>
    </row>
    <row r="144" spans="3:16384" x14ac:dyDescent="0.3">
      <c r="C144" s="158" t="s">
        <v>121</v>
      </c>
      <c r="D144" s="161"/>
      <c r="E144" s="126">
        <v>0</v>
      </c>
      <c r="F144" s="126">
        <v>0</v>
      </c>
      <c r="G144" s="157">
        <f>SUM(E144:F144)</f>
        <v>0</v>
      </c>
    </row>
    <row r="145" spans="2:16" x14ac:dyDescent="0.3">
      <c r="C145" s="160" t="s">
        <v>13</v>
      </c>
      <c r="D145" s="163"/>
      <c r="E145" s="126">
        <v>0</v>
      </c>
      <c r="F145" s="126" t="s">
        <v>126</v>
      </c>
      <c r="G145" s="157">
        <f t="shared" ref="G145:G148" si="10">SUM(E145:F145)</f>
        <v>0</v>
      </c>
    </row>
    <row r="146" spans="2:16" x14ac:dyDescent="0.3">
      <c r="C146" s="160" t="s">
        <v>122</v>
      </c>
      <c r="D146" s="163"/>
      <c r="E146" s="126">
        <v>0</v>
      </c>
      <c r="F146" s="126">
        <v>0</v>
      </c>
      <c r="G146" s="157">
        <f t="shared" si="10"/>
        <v>0</v>
      </c>
    </row>
    <row r="147" spans="2:16" x14ac:dyDescent="0.3">
      <c r="C147" s="158" t="s">
        <v>124</v>
      </c>
      <c r="D147" s="162"/>
      <c r="E147" s="127">
        <v>19</v>
      </c>
      <c r="F147" s="127">
        <v>0</v>
      </c>
      <c r="G147" s="157">
        <f t="shared" si="10"/>
        <v>19</v>
      </c>
      <c r="L147" s="10"/>
      <c r="M147" s="29"/>
    </row>
    <row r="148" spans="2:16" x14ac:dyDescent="0.3">
      <c r="C148" s="159" t="s">
        <v>13</v>
      </c>
      <c r="D148" s="158"/>
      <c r="E148" s="127">
        <v>1</v>
      </c>
      <c r="F148" s="127" t="s">
        <v>126</v>
      </c>
      <c r="G148" s="157">
        <f t="shared" si="10"/>
        <v>1</v>
      </c>
    </row>
    <row r="149" spans="2:16" x14ac:dyDescent="0.3">
      <c r="C149" s="154"/>
      <c r="D149" s="57"/>
      <c r="E149" s="29"/>
      <c r="F149" s="29"/>
      <c r="G149" s="29"/>
    </row>
    <row r="150" spans="2:16" ht="15" thickBot="1" x14ac:dyDescent="0.35">
      <c r="B150" s="121" t="s">
        <v>173</v>
      </c>
      <c r="C150" s="148"/>
      <c r="E150" s="48"/>
      <c r="N150" s="48"/>
    </row>
    <row r="151" spans="2:16" ht="55.8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196" t="s">
        <v>153</v>
      </c>
      <c r="P151" s="48"/>
    </row>
    <row r="152" spans="2:16" ht="30" customHeight="1" x14ac:dyDescent="0.3">
      <c r="B152" s="401" t="s">
        <v>180</v>
      </c>
      <c r="C152" s="402"/>
      <c r="D152" s="403">
        <v>0</v>
      </c>
      <c r="E152" s="404"/>
      <c r="F152" s="194">
        <v>14</v>
      </c>
      <c r="G152" s="257" t="s">
        <v>206</v>
      </c>
      <c r="H152" s="10"/>
      <c r="P152" s="48"/>
    </row>
    <row r="153" spans="2:16" ht="27" customHeight="1" x14ac:dyDescent="0.3">
      <c r="B153" s="399"/>
      <c r="C153" s="400"/>
      <c r="D153" s="385"/>
      <c r="E153" s="386"/>
      <c r="F153" s="195"/>
      <c r="G153" s="9"/>
      <c r="P153" s="48"/>
    </row>
    <row r="154" spans="2:16" ht="25.5" customHeight="1" x14ac:dyDescent="0.3">
      <c r="B154" s="372" t="s">
        <v>169</v>
      </c>
      <c r="C154" s="373"/>
      <c r="D154" s="370">
        <v>349</v>
      </c>
      <c r="E154" s="371"/>
      <c r="F154" s="107"/>
      <c r="P154" s="48"/>
    </row>
    <row r="155" spans="2:16" ht="25.5" customHeight="1" x14ac:dyDescent="0.3">
      <c r="B155" s="372" t="s">
        <v>212</v>
      </c>
      <c r="C155" s="373"/>
      <c r="D155" s="370">
        <v>1422</v>
      </c>
      <c r="E155" s="371"/>
      <c r="F155" s="107"/>
      <c r="P155" s="48"/>
    </row>
    <row r="156" spans="2:16" ht="25.5" customHeight="1" x14ac:dyDescent="0.3">
      <c r="B156" s="372" t="s">
        <v>154</v>
      </c>
      <c r="C156" s="373"/>
      <c r="D156" s="370">
        <v>3335</v>
      </c>
      <c r="E156" s="371"/>
      <c r="F156" s="107"/>
      <c r="P156" s="48"/>
    </row>
    <row r="157" spans="2:16" ht="25.5" customHeight="1" x14ac:dyDescent="0.3">
      <c r="B157" s="372" t="s">
        <v>155</v>
      </c>
      <c r="C157" s="373"/>
      <c r="D157" s="370">
        <v>96</v>
      </c>
      <c r="E157" s="371"/>
      <c r="F157" s="107"/>
      <c r="P157" s="48"/>
    </row>
    <row r="158" spans="2:16" ht="25.5" customHeight="1" x14ac:dyDescent="0.3">
      <c r="B158" s="372" t="s">
        <v>156</v>
      </c>
      <c r="C158" s="373"/>
      <c r="D158" s="370">
        <v>3529</v>
      </c>
      <c r="E158" s="371"/>
      <c r="F158" s="107"/>
      <c r="P158" s="48"/>
    </row>
    <row r="159" spans="2:16" ht="25.5" customHeight="1" x14ac:dyDescent="0.3">
      <c r="B159" s="372" t="s">
        <v>123</v>
      </c>
      <c r="C159" s="373"/>
      <c r="D159" s="370">
        <v>191</v>
      </c>
      <c r="E159" s="371"/>
      <c r="F159" s="107"/>
      <c r="P159" s="48"/>
    </row>
    <row r="160" spans="2:16" x14ac:dyDescent="0.3">
      <c r="B160" s="372" t="s">
        <v>125</v>
      </c>
      <c r="C160" s="373"/>
      <c r="D160" s="370">
        <v>89</v>
      </c>
      <c r="E160" s="371"/>
      <c r="F160" s="107"/>
      <c r="P160" s="48"/>
    </row>
    <row r="161" spans="2:16" x14ac:dyDescent="0.3">
      <c r="B161" s="372" t="s">
        <v>110</v>
      </c>
      <c r="C161" s="373"/>
      <c r="D161" s="370">
        <v>52</v>
      </c>
      <c r="E161" s="371"/>
      <c r="F161" s="107">
        <v>47</v>
      </c>
      <c r="P161" s="48"/>
    </row>
    <row r="162" spans="2:16" x14ac:dyDescent="0.3">
      <c r="B162" s="372" t="s">
        <v>157</v>
      </c>
      <c r="C162" s="373"/>
      <c r="D162" s="370">
        <v>336</v>
      </c>
      <c r="E162" s="371"/>
      <c r="F162" s="107"/>
      <c r="P162" s="48"/>
    </row>
    <row r="163" spans="2:16" x14ac:dyDescent="0.3">
      <c r="B163" s="372" t="s">
        <v>128</v>
      </c>
      <c r="C163" s="373"/>
      <c r="D163" s="370">
        <v>55</v>
      </c>
      <c r="E163" s="371"/>
      <c r="F163" s="107"/>
      <c r="P163" s="48"/>
    </row>
    <row r="164" spans="2:16" ht="23.25" customHeight="1" x14ac:dyDescent="0.3">
      <c r="B164" s="395" t="s">
        <v>158</v>
      </c>
      <c r="C164" s="396"/>
      <c r="D164" s="353">
        <v>59</v>
      </c>
      <c r="E164" s="354"/>
      <c r="F164" s="108"/>
      <c r="P164" s="48"/>
    </row>
    <row r="165" spans="2:16" ht="26.25" customHeight="1" x14ac:dyDescent="0.3">
      <c r="B165" s="395" t="s">
        <v>159</v>
      </c>
      <c r="C165" s="396"/>
      <c r="D165" s="353">
        <v>3282</v>
      </c>
      <c r="E165" s="354"/>
      <c r="F165" s="108"/>
      <c r="P165" s="48"/>
    </row>
    <row r="166" spans="2:16" ht="26.25" customHeight="1" x14ac:dyDescent="0.3">
      <c r="B166" s="397" t="s">
        <v>160</v>
      </c>
      <c r="C166" s="398"/>
      <c r="D166" s="355">
        <v>405</v>
      </c>
      <c r="E166" s="356"/>
      <c r="F166" s="109"/>
      <c r="P166" s="48"/>
    </row>
    <row r="167" spans="2:16" ht="17.25" customHeight="1" x14ac:dyDescent="0.3">
      <c r="B167" s="387" t="s">
        <v>161</v>
      </c>
      <c r="C167" s="388"/>
      <c r="D167" s="357">
        <v>294</v>
      </c>
      <c r="E167" s="358"/>
      <c r="F167" s="110"/>
      <c r="P167" s="48"/>
    </row>
    <row r="168" spans="2:16" ht="24" customHeight="1" x14ac:dyDescent="0.3">
      <c r="B168" s="387" t="s">
        <v>162</v>
      </c>
      <c r="C168" s="388"/>
      <c r="D168" s="357">
        <v>271</v>
      </c>
      <c r="E168" s="358"/>
      <c r="F168" s="110"/>
      <c r="P168" s="48"/>
    </row>
    <row r="169" spans="2:16" ht="33" customHeight="1" x14ac:dyDescent="0.3">
      <c r="B169" s="389" t="s">
        <v>163</v>
      </c>
      <c r="C169" s="390"/>
      <c r="D169" s="359">
        <v>492</v>
      </c>
      <c r="E169" s="360"/>
      <c r="F169" s="111"/>
      <c r="P169" s="48"/>
    </row>
    <row r="170" spans="2:16" x14ac:dyDescent="0.3">
      <c r="B170" s="391"/>
      <c r="C170" s="392"/>
      <c r="D170" s="347"/>
      <c r="E170" s="348"/>
      <c r="F170" s="112"/>
      <c r="L170" s="18"/>
      <c r="M170" s="17"/>
    </row>
    <row r="171" spans="2:16" ht="15.75" customHeight="1" x14ac:dyDescent="0.3">
      <c r="B171" s="393" t="s">
        <v>127</v>
      </c>
      <c r="C171" s="394"/>
      <c r="D171" s="349">
        <v>23</v>
      </c>
      <c r="E171" s="350"/>
      <c r="F171" s="113"/>
      <c r="K171" s="29"/>
    </row>
    <row r="172" spans="2:16" x14ac:dyDescent="0.3">
      <c r="B172" s="381" t="s">
        <v>164</v>
      </c>
      <c r="C172" s="382"/>
      <c r="D172" s="351">
        <v>254</v>
      </c>
      <c r="E172" s="352"/>
      <c r="F172" s="114"/>
      <c r="K172" s="17"/>
    </row>
    <row r="173" spans="2:16" x14ac:dyDescent="0.3">
      <c r="B173" s="381" t="s">
        <v>116</v>
      </c>
      <c r="C173" s="382"/>
      <c r="D173" s="351"/>
      <c r="E173" s="352"/>
      <c r="F173" s="114">
        <v>122</v>
      </c>
    </row>
    <row r="174" spans="2:16" ht="15" thickBot="1" x14ac:dyDescent="0.35">
      <c r="B174" s="383" t="s">
        <v>165</v>
      </c>
      <c r="C174" s="384"/>
      <c r="D174" s="341">
        <v>0</v>
      </c>
      <c r="E174" s="342"/>
      <c r="F174" s="185"/>
    </row>
    <row r="175" spans="2:16" ht="15" thickTop="1" x14ac:dyDescent="0.3">
      <c r="B175" s="164" t="s">
        <v>166</v>
      </c>
      <c r="C175" s="165"/>
      <c r="D175" s="343">
        <f>SUM(D152:D174)</f>
        <v>14534</v>
      </c>
      <c r="E175" s="344"/>
      <c r="F175" s="184">
        <f>SUM(F152:F174)</f>
        <v>183</v>
      </c>
      <c r="L175" s="12"/>
      <c r="M175" s="10"/>
      <c r="N175" s="10"/>
      <c r="O175" s="57"/>
      <c r="P175" s="57"/>
    </row>
    <row r="176" spans="2:16" x14ac:dyDescent="0.3">
      <c r="D176" s="17"/>
      <c r="M176" s="54"/>
      <c r="N176" s="58"/>
    </row>
    <row r="177" spans="2:14" x14ac:dyDescent="0.3">
      <c r="C177" s="6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26">
        <v>52</v>
      </c>
      <c r="F178" s="337">
        <v>47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v>3529</v>
      </c>
      <c r="F181" s="126"/>
      <c r="I181" s="29"/>
      <c r="J181" s="29"/>
      <c r="K181" s="54"/>
      <c r="L181" s="54"/>
      <c r="M181" s="58"/>
    </row>
    <row r="182" spans="2:14" x14ac:dyDescent="0.3">
      <c r="C182" s="345" t="s">
        <v>114</v>
      </c>
      <c r="D182" s="346"/>
      <c r="E182" s="126">
        <v>3335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254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98</v>
      </c>
      <c r="E187" s="143">
        <v>63</v>
      </c>
      <c r="F187" s="143">
        <v>255</v>
      </c>
      <c r="G187" s="177">
        <v>250</v>
      </c>
      <c r="H187" s="177">
        <v>144</v>
      </c>
      <c r="I187" s="177"/>
      <c r="J187" s="177">
        <v>59</v>
      </c>
      <c r="K187" s="177">
        <v>85</v>
      </c>
      <c r="L187" s="177">
        <v>217</v>
      </c>
      <c r="M187" s="177">
        <f>SUM(D187:L187)</f>
        <v>1171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78</v>
      </c>
      <c r="H188" s="126" t="s">
        <v>126</v>
      </c>
      <c r="I188" s="126" t="s">
        <v>126</v>
      </c>
      <c r="J188" s="126" t="s">
        <v>126</v>
      </c>
      <c r="K188" s="126">
        <v>60</v>
      </c>
      <c r="L188" s="126">
        <v>13</v>
      </c>
      <c r="M188" s="177">
        <f>SUM(D188:L188)</f>
        <v>151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0</v>
      </c>
      <c r="G189" s="128">
        <v>0</v>
      </c>
      <c r="H189" s="144">
        <v>0</v>
      </c>
      <c r="I189" s="144"/>
      <c r="J189" s="128" t="s">
        <v>126</v>
      </c>
      <c r="K189" s="128">
        <v>0</v>
      </c>
      <c r="L189" s="144">
        <v>13</v>
      </c>
      <c r="M189" s="144">
        <f>SUM(D189:L189)</f>
        <v>13</v>
      </c>
    </row>
    <row r="190" spans="2:14" ht="15" thickTop="1" x14ac:dyDescent="0.3">
      <c r="C190" s="38" t="s">
        <v>12</v>
      </c>
      <c r="D190" s="143">
        <f>SUM(D187:D189)</f>
        <v>98</v>
      </c>
      <c r="E190" s="143">
        <f>SUM(E187:E189)</f>
        <v>63</v>
      </c>
      <c r="F190" s="143">
        <f t="shared" ref="F190:L190" si="11">SUM(F187:F189)</f>
        <v>255</v>
      </c>
      <c r="G190" s="143">
        <f t="shared" si="11"/>
        <v>328</v>
      </c>
      <c r="H190" s="177">
        <f t="shared" si="11"/>
        <v>144</v>
      </c>
      <c r="I190" s="143">
        <f t="shared" si="11"/>
        <v>0</v>
      </c>
      <c r="J190" s="143">
        <f t="shared" si="11"/>
        <v>59</v>
      </c>
      <c r="K190" s="143">
        <f t="shared" si="11"/>
        <v>145</v>
      </c>
      <c r="L190" s="177">
        <f t="shared" si="11"/>
        <v>243</v>
      </c>
      <c r="M190" s="177">
        <f>SUM(M187:M189)</f>
        <v>1335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s="68" t="s">
        <v>201</v>
      </c>
      <c r="D196" s="22"/>
      <c r="E196" s="22"/>
      <c r="F196" s="22"/>
      <c r="G196" s="69"/>
      <c r="H196" s="70" t="s">
        <v>207</v>
      </c>
      <c r="I196" s="71"/>
      <c r="J196" s="72"/>
      <c r="K196" s="73"/>
      <c r="L196" s="74"/>
      <c r="M196" s="74"/>
      <c r="N196" s="75"/>
    </row>
    <row r="197" spans="2:14" x14ac:dyDescent="0.3">
      <c r="B197" s="9"/>
      <c r="C197" s="22"/>
      <c r="D197" s="22"/>
      <c r="E197" s="22"/>
      <c r="F197" s="22"/>
      <c r="G197" s="72"/>
      <c r="H197" s="70" t="s">
        <v>211</v>
      </c>
      <c r="I197" s="72"/>
      <c r="J197" s="72"/>
      <c r="K197" s="72"/>
      <c r="L197" s="76"/>
      <c r="M197" s="76"/>
      <c r="N197" s="77"/>
    </row>
    <row r="198" spans="2:14" x14ac:dyDescent="0.3">
      <c r="B198" s="78" t="s">
        <v>136</v>
      </c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3">
      <c r="B199" s="80" t="s">
        <v>208</v>
      </c>
      <c r="C199" s="10"/>
      <c r="D199" s="10"/>
      <c r="E199" s="10"/>
      <c r="F199" s="10"/>
      <c r="G199" s="10"/>
      <c r="H199" s="79"/>
      <c r="I199" s="10"/>
      <c r="J199" s="10"/>
      <c r="K199" s="10"/>
      <c r="L199" s="10"/>
      <c r="M199" s="10"/>
      <c r="N199" s="30"/>
    </row>
    <row r="200" spans="2:14" ht="17.399999999999999" x14ac:dyDescent="0.3">
      <c r="B200" s="81" t="s">
        <v>200</v>
      </c>
      <c r="C200" s="82"/>
      <c r="D200" s="22"/>
      <c r="E200" s="22"/>
      <c r="F200" s="22"/>
      <c r="G200" s="72"/>
      <c r="I200" s="72"/>
      <c r="J200" s="71"/>
      <c r="K200" s="83"/>
      <c r="L200" s="22"/>
      <c r="M200" s="22"/>
      <c r="N200" s="84"/>
    </row>
    <row r="201" spans="2:14" ht="17.399999999999999" x14ac:dyDescent="0.3">
      <c r="B201" s="80" t="s">
        <v>202</v>
      </c>
      <c r="C201" s="22"/>
      <c r="D201" s="22"/>
      <c r="E201" s="22"/>
      <c r="F201" s="22"/>
      <c r="G201" s="72"/>
      <c r="H201" s="79" t="s">
        <v>95</v>
      </c>
      <c r="I201" s="71"/>
      <c r="J201" s="72"/>
      <c r="K201" s="72"/>
      <c r="L201" s="22"/>
      <c r="M201" s="22"/>
      <c r="N201" s="84"/>
    </row>
    <row r="202" spans="2:14" ht="17.399999999999999" x14ac:dyDescent="0.3">
      <c r="B202" s="117" t="s">
        <v>203</v>
      </c>
      <c r="C202" s="82"/>
      <c r="D202" s="22"/>
      <c r="E202" s="22"/>
      <c r="F202" s="22"/>
      <c r="G202" s="22"/>
      <c r="H202" s="85"/>
      <c r="I202" s="71"/>
      <c r="J202" s="71"/>
      <c r="K202" s="71"/>
      <c r="L202" s="71"/>
      <c r="M202" s="22"/>
      <c r="N202" s="84"/>
    </row>
    <row r="203" spans="2:14" x14ac:dyDescent="0.3">
      <c r="B203" s="256" t="s">
        <v>204</v>
      </c>
      <c r="C203" s="22"/>
      <c r="D203" s="79"/>
      <c r="E203" s="22"/>
      <c r="F203" s="79"/>
      <c r="G203" s="86"/>
      <c r="H203" s="70"/>
      <c r="I203" s="10"/>
      <c r="J203" s="72"/>
      <c r="K203" s="72"/>
      <c r="L203" s="22"/>
      <c r="M203" s="22"/>
      <c r="N203" s="84"/>
    </row>
    <row r="204" spans="2:14" x14ac:dyDescent="0.3">
      <c r="B204" s="81" t="s">
        <v>209</v>
      </c>
      <c r="C204" s="22"/>
      <c r="D204" s="79"/>
      <c r="E204" s="22"/>
      <c r="F204" s="79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3">
      <c r="B205" s="81"/>
      <c r="C205" s="22"/>
      <c r="D205" s="79"/>
      <c r="E205" s="22"/>
      <c r="F205" s="79"/>
      <c r="G205" s="86"/>
      <c r="H205" s="70"/>
      <c r="I205" s="10"/>
      <c r="J205" s="72"/>
      <c r="K205" s="72"/>
      <c r="L205" s="22"/>
      <c r="M205" s="22"/>
      <c r="N205" s="84"/>
    </row>
    <row r="206" spans="2:14" x14ac:dyDescent="0.3">
      <c r="B206" s="9"/>
      <c r="C206" s="22"/>
      <c r="D206" s="22"/>
      <c r="E206" s="22"/>
      <c r="F206" s="22"/>
      <c r="G206" s="86"/>
      <c r="H206" s="70"/>
      <c r="I206" s="10"/>
      <c r="J206" s="72"/>
      <c r="K206" s="72"/>
      <c r="L206" s="22"/>
      <c r="M206" s="22"/>
      <c r="N206" s="84"/>
    </row>
    <row r="207" spans="2:14" x14ac:dyDescent="0.3">
      <c r="B207" s="78" t="s">
        <v>28</v>
      </c>
      <c r="C207" s="22"/>
      <c r="D207" s="22"/>
      <c r="E207" s="22"/>
      <c r="F207" s="22"/>
      <c r="G207" s="86"/>
      <c r="H207" s="79" t="s">
        <v>168</v>
      </c>
      <c r="L207" s="22"/>
      <c r="M207" s="22"/>
      <c r="N207" s="84"/>
    </row>
    <row r="208" spans="2:14" ht="17.399999999999999" x14ac:dyDescent="0.3">
      <c r="B208" s="80"/>
      <c r="C208" s="10"/>
      <c r="D208" s="10"/>
      <c r="E208" s="10"/>
      <c r="F208" s="10"/>
      <c r="G208" s="69"/>
      <c r="H208" s="85"/>
      <c r="I208" s="10"/>
      <c r="J208" s="71"/>
      <c r="K208" s="71"/>
      <c r="L208" s="22"/>
      <c r="M208" s="22"/>
      <c r="N208" s="84"/>
    </row>
    <row r="209" spans="2:14" x14ac:dyDescent="0.3">
      <c r="B209" s="117"/>
      <c r="C209" s="22"/>
      <c r="D209" s="22"/>
      <c r="E209" s="22"/>
      <c r="F209" s="22"/>
      <c r="G209" s="69"/>
      <c r="H209" s="85"/>
      <c r="I209" s="10"/>
      <c r="J209" s="72"/>
      <c r="K209" s="72"/>
      <c r="L209" s="76"/>
      <c r="M209" s="76"/>
      <c r="N209" s="77"/>
    </row>
    <row r="210" spans="2:14" x14ac:dyDescent="0.3">
      <c r="B210" s="80"/>
      <c r="C210" s="22"/>
      <c r="D210" s="22"/>
      <c r="E210" s="22"/>
      <c r="F210" s="22"/>
      <c r="G210" s="69"/>
      <c r="I210" s="10"/>
      <c r="J210" s="72"/>
      <c r="L210" s="76"/>
      <c r="M210" s="76"/>
      <c r="N210" s="77"/>
    </row>
    <row r="211" spans="2:14" x14ac:dyDescent="0.3">
      <c r="B211" s="87" t="s">
        <v>137</v>
      </c>
      <c r="C211" s="22"/>
      <c r="D211" s="22"/>
      <c r="E211" s="22"/>
      <c r="F211" s="22"/>
      <c r="G211" s="69"/>
      <c r="H211" s="88" t="s">
        <v>138</v>
      </c>
      <c r="I211" s="10"/>
      <c r="J211" s="72"/>
      <c r="K211" s="72"/>
      <c r="L211" s="76"/>
      <c r="M211" s="76"/>
      <c r="N211" s="77"/>
    </row>
    <row r="212" spans="2:14" ht="17.399999999999999" x14ac:dyDescent="0.3">
      <c r="B212" s="81" t="s">
        <v>210</v>
      </c>
      <c r="C212" s="22"/>
      <c r="D212" s="22"/>
      <c r="E212" s="22"/>
      <c r="F212" s="22"/>
      <c r="G212" s="69"/>
      <c r="H212" s="70" t="s">
        <v>205</v>
      </c>
      <c r="I212" s="10"/>
      <c r="J212" s="71"/>
      <c r="K212" s="71"/>
      <c r="L212" s="76"/>
      <c r="M212" s="76"/>
      <c r="N212" s="77"/>
    </row>
    <row r="213" spans="2:14" x14ac:dyDescent="0.3">
      <c r="B213" s="81" t="s">
        <v>198</v>
      </c>
      <c r="C213" s="22"/>
      <c r="D213" s="22"/>
      <c r="E213" s="10"/>
      <c r="F213" s="10"/>
      <c r="G213" s="10"/>
      <c r="H213" s="70"/>
      <c r="I213" s="10"/>
      <c r="J213" s="10"/>
      <c r="K213" s="10"/>
      <c r="L213" s="10"/>
      <c r="M213" s="10"/>
      <c r="N213" s="30"/>
    </row>
    <row r="214" spans="2:14" x14ac:dyDescent="0.3">
      <c r="B214" s="81" t="s">
        <v>199</v>
      </c>
      <c r="C214" s="22"/>
      <c r="D214" s="22"/>
      <c r="E214" s="22"/>
      <c r="F214" s="22"/>
      <c r="G214" s="69"/>
      <c r="H214" s="85"/>
      <c r="I214" s="10"/>
      <c r="J214" s="10"/>
      <c r="K214" s="10"/>
      <c r="L214" s="76"/>
      <c r="M214" s="76"/>
      <c r="N214" s="77"/>
    </row>
    <row r="215" spans="2:14" x14ac:dyDescent="0.3">
      <c r="B215" s="80"/>
      <c r="C215" s="79"/>
      <c r="D215" s="79"/>
      <c r="E215" s="22"/>
      <c r="F215" s="22"/>
      <c r="G215" s="69"/>
      <c r="H215" s="85"/>
      <c r="I215" s="10"/>
      <c r="J215" s="72"/>
      <c r="K215" s="72"/>
      <c r="L215" s="76"/>
      <c r="M215" s="76"/>
      <c r="N215" s="77"/>
    </row>
    <row r="216" spans="2:14" x14ac:dyDescent="0.3">
      <c r="B216" s="80"/>
      <c r="C216" s="22"/>
      <c r="D216" s="22"/>
      <c r="E216" s="22"/>
      <c r="F216" s="82"/>
      <c r="G216" s="22"/>
      <c r="H216" s="89"/>
      <c r="I216" s="10"/>
      <c r="J216" s="22"/>
      <c r="K216" s="72"/>
      <c r="L216" s="10"/>
      <c r="M216" s="10"/>
      <c r="N216" s="30"/>
    </row>
    <row r="217" spans="2:14" ht="17.399999999999999" x14ac:dyDescent="0.3">
      <c r="B217" s="9"/>
      <c r="C217" s="22"/>
      <c r="D217" s="22"/>
      <c r="E217" s="22"/>
      <c r="F217" s="22"/>
      <c r="G217" s="69"/>
      <c r="H217" s="85"/>
      <c r="I217" s="10"/>
      <c r="J217" s="71"/>
      <c r="K217" s="71"/>
      <c r="L217" s="22"/>
      <c r="M217" s="22"/>
      <c r="N217" s="84"/>
    </row>
    <row r="218" spans="2:14" ht="17.399999999999999" x14ac:dyDescent="0.3">
      <c r="B218" s="9"/>
      <c r="C218" s="22"/>
      <c r="D218" s="22"/>
      <c r="E218" s="22"/>
      <c r="F218" s="82"/>
      <c r="G218" s="72"/>
      <c r="H218" s="85"/>
      <c r="I218" s="73"/>
      <c r="J218" s="72"/>
      <c r="K218" s="73"/>
      <c r="L218" s="74"/>
      <c r="M218" s="74"/>
      <c r="N218" s="84"/>
    </row>
    <row r="219" spans="2:14" ht="17.399999999999999" x14ac:dyDescent="0.3">
      <c r="B219" s="90"/>
      <c r="C219" s="91"/>
      <c r="D219" s="91"/>
      <c r="E219" s="91"/>
      <c r="F219" s="92"/>
      <c r="G219" s="93"/>
      <c r="H219" s="94"/>
      <c r="I219" s="95"/>
      <c r="J219" s="93"/>
      <c r="K219" s="95"/>
      <c r="L219" s="96"/>
      <c r="M219" s="96"/>
      <c r="N219" s="97"/>
    </row>
    <row r="220" spans="2:14" x14ac:dyDescent="0.3">
      <c r="B220" s="82"/>
      <c r="C220" s="69"/>
      <c r="D220" s="72"/>
      <c r="E220" s="72"/>
      <c r="F220" s="72"/>
      <c r="G220" s="72"/>
      <c r="H220" s="76"/>
      <c r="I220" s="76"/>
      <c r="J220" s="76"/>
      <c r="K220" s="76"/>
      <c r="L220" s="74"/>
      <c r="M220" s="74"/>
      <c r="N220" s="22"/>
    </row>
    <row r="223" spans="2:14" x14ac:dyDescent="0.3">
      <c r="J223" s="10"/>
      <c r="K223" s="10"/>
      <c r="L223" s="10"/>
      <c r="M223" s="10"/>
    </row>
    <row r="224" spans="2:14" x14ac:dyDescent="0.3">
      <c r="J224" s="10"/>
      <c r="K224" s="10"/>
      <c r="L224" s="10"/>
      <c r="M224" s="10"/>
    </row>
  </sheetData>
  <mergeCells count="71">
    <mergeCell ref="D152:E152"/>
    <mergeCell ref="B99:C99"/>
    <mergeCell ref="K67:M67"/>
    <mergeCell ref="H67:J67"/>
    <mergeCell ref="D67:E67"/>
    <mergeCell ref="B63:C63"/>
    <mergeCell ref="B66:C66"/>
    <mergeCell ref="B67:C67"/>
    <mergeCell ref="B162:C162"/>
    <mergeCell ref="B153:C153"/>
    <mergeCell ref="B154:C154"/>
    <mergeCell ref="B155:C155"/>
    <mergeCell ref="B156:C156"/>
    <mergeCell ref="B157:C157"/>
    <mergeCell ref="B152:C152"/>
    <mergeCell ref="B170:C170"/>
    <mergeCell ref="B171:C171"/>
    <mergeCell ref="B163:C163"/>
    <mergeCell ref="B164:C164"/>
    <mergeCell ref="B165:C165"/>
    <mergeCell ref="B166:C166"/>
    <mergeCell ref="B167:C167"/>
    <mergeCell ref="B172:C172"/>
    <mergeCell ref="B173:C173"/>
    <mergeCell ref="B174:C174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2:E162"/>
    <mergeCell ref="D163:E163"/>
    <mergeCell ref="D164:E164"/>
    <mergeCell ref="B168:C168"/>
    <mergeCell ref="B169:C169"/>
    <mergeCell ref="B23:C23"/>
    <mergeCell ref="B24:C24"/>
    <mergeCell ref="B64:C64"/>
    <mergeCell ref="M101:M103"/>
    <mergeCell ref="D161:E161"/>
    <mergeCell ref="B158:C158"/>
    <mergeCell ref="B159:C159"/>
    <mergeCell ref="B160:C160"/>
    <mergeCell ref="B161:C161"/>
    <mergeCell ref="B104:C104"/>
    <mergeCell ref="B151:C151"/>
    <mergeCell ref="D151:E151"/>
    <mergeCell ref="B87:C87"/>
    <mergeCell ref="B88:C88"/>
    <mergeCell ref="B95:C95"/>
    <mergeCell ref="B96:C96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F177:G177"/>
    <mergeCell ref="F178:G178"/>
    <mergeCell ref="B192:C192"/>
    <mergeCell ref="D174:E174"/>
    <mergeCell ref="D175:E175"/>
    <mergeCell ref="C181:D181"/>
    <mergeCell ref="C182:D182"/>
    <mergeCell ref="C183:D183"/>
  </mergeCells>
  <pageMargins left="0.7" right="0.7" top="0.75" bottom="0.75" header="0.3" footer="0.3"/>
  <pageSetup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opLeftCell="A71" workbookViewId="0">
      <selection activeCell="E60" sqref="E60"/>
    </sheetView>
  </sheetViews>
  <sheetFormatPr defaultRowHeight="14.4" x14ac:dyDescent="0.3"/>
  <cols>
    <col min="3" max="3" width="13.6640625" customWidth="1"/>
    <col min="4" max="4" width="10.109375" customWidth="1"/>
    <col min="7" max="7" width="10.44140625" customWidth="1"/>
    <col min="8" max="8" width="10.5546875" bestFit="1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>
        <v>43313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37" t="s">
        <v>17</v>
      </c>
      <c r="D6" s="126">
        <v>82</v>
      </c>
      <c r="E6" s="126">
        <v>0</v>
      </c>
      <c r="F6" s="126">
        <v>153</v>
      </c>
      <c r="G6" s="127">
        <v>273</v>
      </c>
      <c r="H6" s="127">
        <v>81</v>
      </c>
      <c r="I6" s="127">
        <v>1</v>
      </c>
      <c r="J6" s="127">
        <v>4</v>
      </c>
      <c r="K6" s="127">
        <v>90</v>
      </c>
      <c r="L6" s="127">
        <v>59</v>
      </c>
      <c r="M6" s="127">
        <f>SUM(D6:L6)</f>
        <v>743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258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11</v>
      </c>
      <c r="H8" s="127">
        <v>18</v>
      </c>
      <c r="I8" s="127">
        <v>1</v>
      </c>
      <c r="J8" s="126">
        <v>0</v>
      </c>
      <c r="K8" s="126">
        <v>23</v>
      </c>
      <c r="L8" s="127">
        <v>0</v>
      </c>
      <c r="M8" s="127">
        <f>SUM(D8:L8)</f>
        <v>73</v>
      </c>
    </row>
    <row r="9" spans="2:15" x14ac:dyDescent="0.3">
      <c r="C9" s="38" t="s">
        <v>20</v>
      </c>
      <c r="D9" s="126">
        <v>5</v>
      </c>
      <c r="E9" s="126">
        <v>4</v>
      </c>
      <c r="F9" s="126">
        <v>19</v>
      </c>
      <c r="G9" s="126">
        <v>50</v>
      </c>
      <c r="H9" s="127">
        <v>21</v>
      </c>
      <c r="I9" s="126">
        <v>1</v>
      </c>
      <c r="J9" s="126">
        <v>2</v>
      </c>
      <c r="K9" s="126">
        <v>23</v>
      </c>
      <c r="L9" s="127">
        <v>3</v>
      </c>
      <c r="M9" s="127">
        <f>SUM(D9:L9)</f>
        <v>128</v>
      </c>
    </row>
    <row r="10" spans="2:15" x14ac:dyDescent="0.3">
      <c r="C10" s="38" t="s">
        <v>21</v>
      </c>
      <c r="D10" s="127">
        <v>167</v>
      </c>
      <c r="E10" s="126">
        <v>75</v>
      </c>
      <c r="F10" s="126">
        <v>302</v>
      </c>
      <c r="G10" s="126">
        <v>321</v>
      </c>
      <c r="H10" s="127">
        <v>168</v>
      </c>
      <c r="I10" s="126">
        <v>13</v>
      </c>
      <c r="J10" s="126">
        <v>10</v>
      </c>
      <c r="K10" s="126">
        <v>599</v>
      </c>
      <c r="L10" s="127">
        <v>172</v>
      </c>
      <c r="M10" s="127">
        <f>SUM(D10:L10)</f>
        <v>1827</v>
      </c>
    </row>
    <row r="11" spans="2:15" x14ac:dyDescent="0.3">
      <c r="C11" s="38" t="s">
        <v>12</v>
      </c>
      <c r="D11" s="177">
        <f t="shared" ref="D11:M11" si="0">SUM(D6:D10)</f>
        <v>256</v>
      </c>
      <c r="E11" s="143">
        <f t="shared" si="0"/>
        <v>81</v>
      </c>
      <c r="F11" s="177">
        <f t="shared" si="0"/>
        <v>492</v>
      </c>
      <c r="G11" s="177">
        <f t="shared" si="0"/>
        <v>655</v>
      </c>
      <c r="H11" s="177">
        <f t="shared" si="0"/>
        <v>289</v>
      </c>
      <c r="I11" s="143">
        <f t="shared" si="0"/>
        <v>16</v>
      </c>
      <c r="J11" s="143">
        <f t="shared" si="0"/>
        <v>16</v>
      </c>
      <c r="K11" s="143">
        <f t="shared" si="0"/>
        <v>735</v>
      </c>
      <c r="L11" s="143">
        <f t="shared" si="0"/>
        <v>236</v>
      </c>
      <c r="M11" s="127">
        <f t="shared" si="0"/>
        <v>2776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37" t="s">
        <v>24</v>
      </c>
      <c r="D16" s="126">
        <v>86</v>
      </c>
      <c r="E16" s="126">
        <v>0</v>
      </c>
      <c r="F16" s="126">
        <v>102</v>
      </c>
      <c r="G16" s="127">
        <v>177</v>
      </c>
      <c r="H16" s="127">
        <v>236</v>
      </c>
      <c r="I16" s="127">
        <v>21</v>
      </c>
      <c r="J16" s="127">
        <v>56</v>
      </c>
      <c r="K16" s="127">
        <v>312</v>
      </c>
      <c r="L16" s="127">
        <v>43</v>
      </c>
      <c r="M16" s="127">
        <f>SUM(D16:L16)</f>
        <v>1033</v>
      </c>
    </row>
    <row r="17" spans="2:13" x14ac:dyDescent="0.3">
      <c r="C17" s="38" t="s">
        <v>25</v>
      </c>
      <c r="D17" s="126">
        <v>25</v>
      </c>
      <c r="E17" s="126">
        <v>0</v>
      </c>
      <c r="F17" s="127">
        <v>28</v>
      </c>
      <c r="G17" s="126">
        <v>67</v>
      </c>
      <c r="H17" s="126">
        <v>78</v>
      </c>
      <c r="I17" s="126">
        <v>6</v>
      </c>
      <c r="J17" s="126">
        <v>10</v>
      </c>
      <c r="K17" s="126">
        <v>32</v>
      </c>
      <c r="L17" s="126">
        <v>10</v>
      </c>
      <c r="M17" s="127">
        <f>SUM(D17:L17)</f>
        <v>256</v>
      </c>
    </row>
    <row r="18" spans="2:13" x14ac:dyDescent="0.3">
      <c r="C18" s="38" t="s">
        <v>26</v>
      </c>
      <c r="D18" s="126">
        <v>156</v>
      </c>
      <c r="E18" s="126">
        <v>140</v>
      </c>
      <c r="F18" s="126">
        <v>365</v>
      </c>
      <c r="G18" s="126">
        <v>241</v>
      </c>
      <c r="H18" s="127">
        <v>256</v>
      </c>
      <c r="I18" s="127">
        <v>3</v>
      </c>
      <c r="J18" s="126">
        <v>137</v>
      </c>
      <c r="K18" s="126">
        <v>267</v>
      </c>
      <c r="L18" s="127">
        <v>81</v>
      </c>
      <c r="M18" s="127">
        <f>SUM(D18:L18)</f>
        <v>1646</v>
      </c>
    </row>
    <row r="19" spans="2:13" x14ac:dyDescent="0.3">
      <c r="C19" s="38" t="s">
        <v>27</v>
      </c>
      <c r="D19" s="126">
        <v>25</v>
      </c>
      <c r="E19" s="126">
        <v>35</v>
      </c>
      <c r="F19" s="126">
        <v>2</v>
      </c>
      <c r="G19" s="126">
        <v>8</v>
      </c>
      <c r="H19" s="127">
        <v>10</v>
      </c>
      <c r="I19" s="126">
        <v>0</v>
      </c>
      <c r="J19" s="126">
        <v>4</v>
      </c>
      <c r="K19" s="126">
        <v>11</v>
      </c>
      <c r="L19" s="127">
        <v>0</v>
      </c>
      <c r="M19" s="127">
        <f>SUM(D19:L19)</f>
        <v>95</v>
      </c>
    </row>
    <row r="20" spans="2:13" x14ac:dyDescent="0.3">
      <c r="C20" s="38" t="s">
        <v>28</v>
      </c>
      <c r="D20" s="127">
        <f>D59</f>
        <v>2</v>
      </c>
      <c r="E20" s="127">
        <f t="shared" ref="E20:L20" si="1">E59</f>
        <v>0</v>
      </c>
      <c r="F20" s="127">
        <f t="shared" si="1"/>
        <v>0</v>
      </c>
      <c r="G20" s="127">
        <f t="shared" si="1"/>
        <v>1</v>
      </c>
      <c r="H20" s="127">
        <f t="shared" si="1"/>
        <v>5</v>
      </c>
      <c r="I20" s="127">
        <f t="shared" si="1"/>
        <v>0</v>
      </c>
      <c r="J20" s="127">
        <f t="shared" si="1"/>
        <v>0</v>
      </c>
      <c r="K20" s="127">
        <f t="shared" si="1"/>
        <v>2</v>
      </c>
      <c r="L20" s="127">
        <f t="shared" si="1"/>
        <v>0</v>
      </c>
      <c r="M20" s="127">
        <f t="shared" ref="M20:M21" si="2">SUM(D20:L20)</f>
        <v>10</v>
      </c>
    </row>
    <row r="21" spans="2:13" x14ac:dyDescent="0.3">
      <c r="C21" s="38" t="s">
        <v>12</v>
      </c>
      <c r="D21" s="127">
        <f t="shared" ref="D21" si="3">SUM(D16:D20)</f>
        <v>294</v>
      </c>
      <c r="E21" s="126">
        <f t="shared" ref="E21:L21" si="4">SUM(E16:E20)</f>
        <v>175</v>
      </c>
      <c r="F21" s="127">
        <f t="shared" si="4"/>
        <v>497</v>
      </c>
      <c r="G21" s="127">
        <f t="shared" si="4"/>
        <v>494</v>
      </c>
      <c r="H21" s="127">
        <f t="shared" si="4"/>
        <v>585</v>
      </c>
      <c r="I21" s="126">
        <f t="shared" si="4"/>
        <v>30</v>
      </c>
      <c r="J21" s="126">
        <f t="shared" si="4"/>
        <v>207</v>
      </c>
      <c r="K21" s="126">
        <f t="shared" si="4"/>
        <v>624</v>
      </c>
      <c r="L21" s="126">
        <f t="shared" si="4"/>
        <v>134</v>
      </c>
      <c r="M21" s="127">
        <f t="shared" si="2"/>
        <v>3040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3</v>
      </c>
      <c r="G23" s="126">
        <v>3</v>
      </c>
      <c r="H23" s="126">
        <v>0</v>
      </c>
      <c r="I23" s="126">
        <v>0</v>
      </c>
      <c r="J23" s="126">
        <v>0</v>
      </c>
      <c r="K23" s="126">
        <v>4</v>
      </c>
      <c r="L23" s="126">
        <v>0</v>
      </c>
      <c r="M23" s="126">
        <f>SUM(D23:L23)</f>
        <v>10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49</v>
      </c>
      <c r="G24" s="126">
        <v>52</v>
      </c>
      <c r="H24" s="126">
        <v>0</v>
      </c>
      <c r="I24" s="126">
        <v>0</v>
      </c>
      <c r="J24" s="126">
        <v>0</v>
      </c>
      <c r="K24" s="126">
        <v>78</v>
      </c>
      <c r="L24" s="126">
        <v>0</v>
      </c>
      <c r="M24" s="134">
        <f>SUM(D24:L24)</f>
        <v>179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59">
        <v>4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59">
        <v>7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/>
      <c r="E31" s="126"/>
      <c r="F31" s="126"/>
      <c r="G31" s="127"/>
      <c r="H31" s="127"/>
      <c r="I31" s="127"/>
      <c r="J31" s="127"/>
      <c r="K31" s="127"/>
      <c r="L31" s="127"/>
      <c r="M31" s="127">
        <f t="shared" ref="M31:M58" si="5">SUM(D31:L31)</f>
        <v>0</v>
      </c>
    </row>
    <row r="32" spans="2:13" x14ac:dyDescent="0.3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5"/>
        <v>0</v>
      </c>
    </row>
    <row r="33" spans="3:13" x14ac:dyDescent="0.3">
      <c r="C33" s="38" t="s">
        <v>35</v>
      </c>
      <c r="D33" s="126"/>
      <c r="E33" s="126"/>
      <c r="F33" s="126"/>
      <c r="G33" s="126"/>
      <c r="H33" s="127">
        <v>1</v>
      </c>
      <c r="I33" s="127"/>
      <c r="J33" s="126"/>
      <c r="K33" s="126"/>
      <c r="L33" s="127"/>
      <c r="M33" s="127">
        <f t="shared" si="5"/>
        <v>1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5"/>
        <v>0</v>
      </c>
    </row>
    <row r="35" spans="3:13" x14ac:dyDescent="0.3">
      <c r="C35" s="38" t="s">
        <v>37</v>
      </c>
      <c r="D35" s="127"/>
      <c r="E35" s="126"/>
      <c r="F35" s="126"/>
      <c r="G35" s="126"/>
      <c r="H35" s="127"/>
      <c r="I35" s="126"/>
      <c r="J35" s="126"/>
      <c r="K35" s="126"/>
      <c r="L35" s="127"/>
      <c r="M35" s="127">
        <f t="shared" si="5"/>
        <v>0</v>
      </c>
    </row>
    <row r="36" spans="3:13" x14ac:dyDescent="0.3">
      <c r="C36" s="38" t="s">
        <v>38</v>
      </c>
      <c r="D36" s="127"/>
      <c r="E36" s="126"/>
      <c r="F36" s="127"/>
      <c r="G36" s="127"/>
      <c r="H36" s="127"/>
      <c r="I36" s="126"/>
      <c r="J36" s="126"/>
      <c r="K36" s="126"/>
      <c r="L36" s="126"/>
      <c r="M36" s="127">
        <f t="shared" si="5"/>
        <v>0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>
        <v>3</v>
      </c>
      <c r="I39" s="127"/>
      <c r="J39" s="126"/>
      <c r="K39" s="126">
        <v>1</v>
      </c>
      <c r="L39" s="127"/>
      <c r="M39" s="127">
        <f t="shared" si="5"/>
        <v>4</v>
      </c>
    </row>
    <row r="40" spans="3:13" x14ac:dyDescent="0.3">
      <c r="C40" s="38" t="s">
        <v>42</v>
      </c>
      <c r="D40" s="126"/>
      <c r="E40" s="126"/>
      <c r="F40" s="127"/>
      <c r="G40" s="127"/>
      <c r="H40" s="127"/>
      <c r="I40" s="127"/>
      <c r="J40" s="126"/>
      <c r="K40" s="126"/>
      <c r="L40" s="127"/>
      <c r="M40" s="127">
        <f t="shared" si="5"/>
        <v>0</v>
      </c>
    </row>
    <row r="41" spans="3:13" x14ac:dyDescent="0.3">
      <c r="C41" s="38" t="s">
        <v>43</v>
      </c>
      <c r="D41" s="126"/>
      <c r="E41" s="126"/>
      <c r="F41" s="127"/>
      <c r="G41" s="127"/>
      <c r="H41" s="127"/>
      <c r="I41" s="127"/>
      <c r="J41" s="126"/>
      <c r="K41" s="126"/>
      <c r="L41" s="127"/>
      <c r="M41" s="127">
        <f t="shared" si="5"/>
        <v>0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5"/>
        <v>0</v>
      </c>
    </row>
    <row r="43" spans="3:13" x14ac:dyDescent="0.3">
      <c r="C43" s="37" t="s">
        <v>45</v>
      </c>
      <c r="D43" s="126"/>
      <c r="E43" s="126"/>
      <c r="F43" s="127"/>
      <c r="G43" s="127"/>
      <c r="H43" s="127"/>
      <c r="I43" s="127"/>
      <c r="J43" s="127"/>
      <c r="K43" s="127"/>
      <c r="L43" s="127"/>
      <c r="M43" s="127">
        <f t="shared" si="5"/>
        <v>0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5"/>
        <v>0</v>
      </c>
    </row>
    <row r="48" spans="3:13" x14ac:dyDescent="0.3">
      <c r="C48" s="37" t="s">
        <v>50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>
        <f t="shared" si="5"/>
        <v>0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5"/>
        <v>0</v>
      </c>
    </row>
    <row r="51" spans="2:14" x14ac:dyDescent="0.3">
      <c r="C51" s="38" t="s">
        <v>53</v>
      </c>
      <c r="D51" s="127"/>
      <c r="E51" s="126"/>
      <c r="F51" s="127"/>
      <c r="G51" s="127"/>
      <c r="H51" s="127"/>
      <c r="I51" s="127"/>
      <c r="J51" s="127"/>
      <c r="K51" s="127"/>
      <c r="L51" s="127"/>
      <c r="M51" s="127">
        <f t="shared" si="5"/>
        <v>0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5"/>
        <v>0</v>
      </c>
    </row>
    <row r="53" spans="2:14" x14ac:dyDescent="0.3">
      <c r="C53" s="38" t="s">
        <v>167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5"/>
        <v>0</v>
      </c>
    </row>
    <row r="54" spans="2:14" x14ac:dyDescent="0.3">
      <c r="C54" s="38" t="s">
        <v>55</v>
      </c>
      <c r="D54" s="127"/>
      <c r="E54" s="126"/>
      <c r="F54" s="127"/>
      <c r="G54" s="127"/>
      <c r="H54" s="127"/>
      <c r="I54" s="127"/>
      <c r="J54" s="127"/>
      <c r="K54" s="127"/>
      <c r="L54" s="127"/>
      <c r="M54" s="127">
        <f t="shared" si="5"/>
        <v>0</v>
      </c>
    </row>
    <row r="55" spans="2:14" x14ac:dyDescent="0.3">
      <c r="C55" s="38" t="s">
        <v>56</v>
      </c>
      <c r="D55" s="126"/>
      <c r="E55" s="126"/>
      <c r="F55" s="126"/>
      <c r="G55" s="127"/>
      <c r="H55" s="126"/>
      <c r="I55" s="127"/>
      <c r="J55" s="127"/>
      <c r="K55" s="127"/>
      <c r="L55" s="127"/>
      <c r="M55" s="127">
        <f t="shared" si="5"/>
        <v>0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5"/>
        <v>0</v>
      </c>
    </row>
    <row r="57" spans="2:14" x14ac:dyDescent="0.3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5"/>
        <v>0</v>
      </c>
    </row>
    <row r="58" spans="2:14" ht="15" thickBot="1" x14ac:dyDescent="0.35">
      <c r="C58" s="118" t="s">
        <v>59</v>
      </c>
      <c r="D58" s="145">
        <v>2</v>
      </c>
      <c r="E58" s="128"/>
      <c r="F58" s="128"/>
      <c r="G58" s="128">
        <v>1</v>
      </c>
      <c r="H58" s="128">
        <v>1</v>
      </c>
      <c r="I58" s="128"/>
      <c r="J58" s="128"/>
      <c r="K58" s="128">
        <v>1</v>
      </c>
      <c r="L58" s="128"/>
      <c r="M58" s="144">
        <f t="shared" si="5"/>
        <v>5</v>
      </c>
    </row>
    <row r="59" spans="2:14" ht="15" thickTop="1" x14ac:dyDescent="0.3">
      <c r="C59" s="36" t="s">
        <v>29</v>
      </c>
      <c r="D59" s="143">
        <f t="shared" ref="D59:L59" si="6">SUM(D31:D58)</f>
        <v>2</v>
      </c>
      <c r="E59" s="143">
        <f>SUM(E31:E58)</f>
        <v>0</v>
      </c>
      <c r="F59" s="143">
        <f t="shared" si="6"/>
        <v>0</v>
      </c>
      <c r="G59" s="143">
        <f t="shared" si="6"/>
        <v>1</v>
      </c>
      <c r="H59" s="143">
        <f t="shared" si="6"/>
        <v>5</v>
      </c>
      <c r="I59" s="143">
        <f t="shared" si="6"/>
        <v>0</v>
      </c>
      <c r="J59" s="143">
        <f t="shared" si="6"/>
        <v>0</v>
      </c>
      <c r="K59" s="143">
        <f t="shared" si="6"/>
        <v>2</v>
      </c>
      <c r="L59" s="143">
        <f t="shared" si="6"/>
        <v>0</v>
      </c>
      <c r="M59" s="143">
        <f t="shared" ref="M59" si="7">SUM(M31:M58)</f>
        <v>10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3344</v>
      </c>
      <c r="E64" s="125">
        <v>75</v>
      </c>
      <c r="F64" s="124">
        <v>12912</v>
      </c>
      <c r="G64" s="125">
        <v>11774</v>
      </c>
      <c r="H64" s="125">
        <v>9092</v>
      </c>
      <c r="I64" s="125">
        <v>102</v>
      </c>
      <c r="J64" s="125">
        <v>58</v>
      </c>
      <c r="K64" s="125">
        <v>11487</v>
      </c>
      <c r="L64" s="125">
        <v>1832</v>
      </c>
      <c r="M64" s="21">
        <f>SUM(D64:L64)</f>
        <v>50676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16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36" t="s">
        <v>63</v>
      </c>
      <c r="D68" s="129" t="s">
        <v>64</v>
      </c>
      <c r="E68" s="136" t="s">
        <v>65</v>
      </c>
      <c r="F68" s="136" t="s">
        <v>66</v>
      </c>
      <c r="G68" s="136" t="s">
        <v>67</v>
      </c>
      <c r="H68" s="136" t="s">
        <v>68</v>
      </c>
      <c r="I68" s="136" t="s">
        <v>69</v>
      </c>
      <c r="J68" s="136" t="s">
        <v>70</v>
      </c>
      <c r="K68" s="129" t="s">
        <v>71</v>
      </c>
      <c r="L68" s="135" t="s">
        <v>72</v>
      </c>
      <c r="M68" s="136" t="s">
        <v>144</v>
      </c>
      <c r="N68" s="30"/>
    </row>
    <row r="69" spans="2:14" x14ac:dyDescent="0.3">
      <c r="B69" s="259" t="s">
        <v>73</v>
      </c>
      <c r="C69" s="260" t="s">
        <v>74</v>
      </c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</row>
    <row r="70" spans="2:14" x14ac:dyDescent="0.3">
      <c r="B70" s="259" t="s">
        <v>75</v>
      </c>
      <c r="C70" s="141">
        <v>45172</v>
      </c>
      <c r="D70" s="126">
        <f>64+39+25+22</f>
        <v>150</v>
      </c>
      <c r="E70" s="126">
        <v>993</v>
      </c>
      <c r="F70" s="127">
        <f>40+13+8+77+5+30+67+1</f>
        <v>241</v>
      </c>
      <c r="G70" s="118">
        <f>48+3+18+4+1+5+4+5+2+32+16+11+4+64+3+4+2+9+3+10+2+6+19+14+4+8+1+15+1+20+7+1+6+3+11+7+8+3+24+5+1+1+2+3</f>
        <v>420</v>
      </c>
      <c r="H70" s="126">
        <v>117</v>
      </c>
      <c r="I70" s="127">
        <f>21+184+4123</f>
        <v>4328</v>
      </c>
      <c r="J70" s="127">
        <v>18</v>
      </c>
      <c r="K70" s="126">
        <v>17</v>
      </c>
      <c r="L70" s="127">
        <v>211</v>
      </c>
      <c r="M70" s="126">
        <f>4887+179</f>
        <v>5066</v>
      </c>
      <c r="N70" s="126">
        <f>SUM(C70:M70)</f>
        <v>56733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4887</v>
      </c>
    </row>
    <row r="73" spans="2:14" x14ac:dyDescent="0.3">
      <c r="B73" s="10"/>
      <c r="C73" s="6" t="s">
        <v>264</v>
      </c>
      <c r="D73" s="7"/>
      <c r="E73" s="8">
        <v>166</v>
      </c>
      <c r="F73" s="10"/>
      <c r="G73" s="10"/>
      <c r="H73" s="12"/>
      <c r="I73" s="10"/>
      <c r="K73" s="10"/>
      <c r="L73" s="10" t="s">
        <v>147</v>
      </c>
      <c r="M73" s="10"/>
      <c r="N73">
        <f>36+31+21+39+13+24+15</f>
        <v>179</v>
      </c>
    </row>
    <row r="74" spans="2:14" x14ac:dyDescent="0.3">
      <c r="C74" s="42" t="s">
        <v>79</v>
      </c>
      <c r="D74" s="43"/>
      <c r="E74" s="31">
        <v>313</v>
      </c>
      <c r="I74" s="10"/>
      <c r="K74" s="10"/>
      <c r="L74" s="10"/>
      <c r="M74" s="10"/>
    </row>
    <row r="75" spans="2:14" x14ac:dyDescent="0.3">
      <c r="C75" s="44" t="s">
        <v>82</v>
      </c>
      <c r="D75" s="47"/>
      <c r="E75" s="16">
        <v>34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6" t="s">
        <v>117</v>
      </c>
      <c r="D77" s="49"/>
      <c r="E77" s="10"/>
      <c r="I77" s="10"/>
    </row>
    <row r="78" spans="2:14" x14ac:dyDescent="0.3">
      <c r="C78" s="51" t="s">
        <v>118</v>
      </c>
      <c r="D78" s="166">
        <v>1060</v>
      </c>
      <c r="E78" s="10"/>
      <c r="I78" s="10"/>
    </row>
    <row r="79" spans="2:14" x14ac:dyDescent="0.3">
      <c r="C79" s="53" t="s">
        <v>108</v>
      </c>
      <c r="D79" s="56">
        <v>896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123" t="s">
        <v>77</v>
      </c>
      <c r="D81" s="105"/>
      <c r="E81" s="8">
        <v>4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5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6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10" t="s">
        <v>179</v>
      </c>
      <c r="D89" s="126">
        <v>149</v>
      </c>
      <c r="E89" s="126">
        <v>1</v>
      </c>
      <c r="F89" s="126">
        <v>190</v>
      </c>
      <c r="G89" s="167">
        <v>560</v>
      </c>
      <c r="H89" s="167">
        <v>116</v>
      </c>
      <c r="I89" s="167">
        <v>0</v>
      </c>
      <c r="J89" s="167">
        <v>0</v>
      </c>
      <c r="K89" s="167">
        <v>176</v>
      </c>
      <c r="L89" s="167">
        <v>8</v>
      </c>
      <c r="M89" s="168" t="s">
        <v>126</v>
      </c>
      <c r="N89" s="127">
        <f>SUM(D89:M89)</f>
        <v>1200</v>
      </c>
    </row>
    <row r="90" spans="2:14" x14ac:dyDescent="0.3">
      <c r="B90" s="9"/>
      <c r="C90" s="12" t="s">
        <v>13</v>
      </c>
      <c r="D90" s="126">
        <v>13</v>
      </c>
      <c r="E90" s="126">
        <v>1</v>
      </c>
      <c r="F90" s="126">
        <v>11</v>
      </c>
      <c r="G90" s="167">
        <v>70</v>
      </c>
      <c r="H90" s="167">
        <v>3</v>
      </c>
      <c r="I90" s="167">
        <v>0</v>
      </c>
      <c r="J90" s="167">
        <v>0</v>
      </c>
      <c r="K90" s="167">
        <v>42</v>
      </c>
      <c r="L90" s="167">
        <v>0</v>
      </c>
      <c r="M90" s="167">
        <v>8</v>
      </c>
      <c r="N90" s="127">
        <f>SUM(D90:M90)</f>
        <v>148</v>
      </c>
    </row>
    <row r="91" spans="2:14" ht="15" thickBot="1" x14ac:dyDescent="0.35">
      <c r="B91" s="9"/>
      <c r="C91" s="12" t="s">
        <v>14</v>
      </c>
      <c r="D91" s="128">
        <v>0</v>
      </c>
      <c r="E91" s="128">
        <v>0</v>
      </c>
      <c r="F91" s="128">
        <v>16</v>
      </c>
      <c r="G91" s="128">
        <v>17</v>
      </c>
      <c r="H91" s="128">
        <v>37</v>
      </c>
      <c r="I91" s="128">
        <v>0</v>
      </c>
      <c r="J91" s="128">
        <v>0</v>
      </c>
      <c r="K91" s="128">
        <v>9</v>
      </c>
      <c r="L91" s="128">
        <v>8</v>
      </c>
      <c r="M91" s="169" t="s">
        <v>126</v>
      </c>
      <c r="N91" s="128">
        <f>SUM(D91:L91)</f>
        <v>87</v>
      </c>
    </row>
    <row r="92" spans="2:14" ht="15" thickTop="1" x14ac:dyDescent="0.3">
      <c r="B92" s="13"/>
      <c r="C92" s="14" t="s">
        <v>12</v>
      </c>
      <c r="D92" s="143">
        <f>SUM(D89:D91)</f>
        <v>162</v>
      </c>
      <c r="E92" s="143">
        <f t="shared" ref="E92:N92" si="8">SUM(E89:E91)</f>
        <v>2</v>
      </c>
      <c r="F92" s="143">
        <f t="shared" si="8"/>
        <v>217</v>
      </c>
      <c r="G92" s="143">
        <f t="shared" si="8"/>
        <v>647</v>
      </c>
      <c r="H92" s="143">
        <f t="shared" si="8"/>
        <v>156</v>
      </c>
      <c r="I92" s="143">
        <f t="shared" si="8"/>
        <v>0</v>
      </c>
      <c r="J92" s="143">
        <f t="shared" si="8"/>
        <v>0</v>
      </c>
      <c r="K92" s="143">
        <f t="shared" si="8"/>
        <v>227</v>
      </c>
      <c r="L92" s="143">
        <f t="shared" si="8"/>
        <v>16</v>
      </c>
      <c r="M92" s="143">
        <f t="shared" si="8"/>
        <v>8</v>
      </c>
      <c r="N92" s="143">
        <f t="shared" si="8"/>
        <v>1435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5</v>
      </c>
      <c r="E95" s="126">
        <v>0</v>
      </c>
      <c r="F95" s="126">
        <v>18</v>
      </c>
      <c r="G95" s="150">
        <v>18</v>
      </c>
      <c r="H95" s="150">
        <v>13</v>
      </c>
      <c r="I95" s="150">
        <v>0</v>
      </c>
      <c r="J95" s="150">
        <v>0</v>
      </c>
      <c r="K95" s="150">
        <v>11</v>
      </c>
      <c r="L95" s="150">
        <v>1</v>
      </c>
      <c r="M95" s="150">
        <f>SUM(D95:L95)</f>
        <v>66</v>
      </c>
      <c r="N95" s="10"/>
    </row>
    <row r="96" spans="2:14" ht="15" thickBot="1" x14ac:dyDescent="0.35">
      <c r="B96" s="365" t="s">
        <v>177</v>
      </c>
      <c r="C96" s="380"/>
      <c r="D96" s="128">
        <v>0</v>
      </c>
      <c r="E96" s="128">
        <v>0</v>
      </c>
      <c r="F96" s="128">
        <v>0</v>
      </c>
      <c r="G96" s="128">
        <v>27</v>
      </c>
      <c r="H96" s="128">
        <v>0</v>
      </c>
      <c r="I96" s="128">
        <v>26</v>
      </c>
      <c r="J96" s="128">
        <v>0</v>
      </c>
      <c r="K96" s="128">
        <v>208</v>
      </c>
      <c r="L96" s="145">
        <v>0</v>
      </c>
      <c r="M96" s="174">
        <f>SUM(D96:L96)</f>
        <v>261</v>
      </c>
      <c r="N96" s="10"/>
    </row>
    <row r="97" spans="1:15" ht="15" thickTop="1" x14ac:dyDescent="0.3">
      <c r="B97" s="28"/>
      <c r="C97" s="190" t="s">
        <v>29</v>
      </c>
      <c r="D97" s="171">
        <f t="shared" ref="D97" si="9">SUM(D95:D96)</f>
        <v>5</v>
      </c>
      <c r="E97" s="171">
        <f t="shared" ref="E97:M97" si="10">SUM(E95:E96)</f>
        <v>0</v>
      </c>
      <c r="F97" s="171">
        <f t="shared" si="10"/>
        <v>18</v>
      </c>
      <c r="G97" s="173">
        <f t="shared" si="10"/>
        <v>45</v>
      </c>
      <c r="H97" s="173">
        <f t="shared" si="10"/>
        <v>13</v>
      </c>
      <c r="I97" s="172">
        <f t="shared" si="10"/>
        <v>26</v>
      </c>
      <c r="J97" s="173">
        <f t="shared" si="10"/>
        <v>0</v>
      </c>
      <c r="K97" s="173">
        <f t="shared" si="10"/>
        <v>219</v>
      </c>
      <c r="L97" s="173">
        <f t="shared" si="10"/>
        <v>1</v>
      </c>
      <c r="M97" s="173">
        <f t="shared" si="10"/>
        <v>327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43"/>
      <c r="E99" s="143"/>
      <c r="F99" s="143"/>
      <c r="G99" s="151"/>
      <c r="H99" s="151"/>
      <c r="I99" s="151"/>
      <c r="J99" s="151"/>
      <c r="K99" s="151">
        <v>5</v>
      </c>
      <c r="L99" s="151"/>
      <c r="M99" s="151">
        <f>SUM(D99:L99)</f>
        <v>5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1:15" x14ac:dyDescent="0.3">
      <c r="B104" s="374" t="s">
        <v>23</v>
      </c>
      <c r="C104" s="375"/>
      <c r="D104" s="131">
        <v>25</v>
      </c>
      <c r="E104" s="131">
        <v>0</v>
      </c>
      <c r="F104" s="131">
        <v>168.1</v>
      </c>
      <c r="G104" s="131">
        <v>29.75</v>
      </c>
      <c r="H104" s="131">
        <v>89.25</v>
      </c>
      <c r="I104" s="131">
        <v>0</v>
      </c>
      <c r="J104" s="131">
        <v>0</v>
      </c>
      <c r="K104" s="131">
        <v>35.5</v>
      </c>
      <c r="L104" s="131">
        <v>0</v>
      </c>
      <c r="M104" s="132">
        <v>93</v>
      </c>
      <c r="N104" s="133">
        <f>SUM(D104:M104)</f>
        <v>440.6</v>
      </c>
    </row>
    <row r="105" spans="1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6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30">
        <v>701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30">
        <v>126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30">
        <v>22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30">
        <v>17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6">
        <v>0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40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23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0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470+51</f>
        <v>521</v>
      </c>
    </row>
    <row r="120" spans="2:14" x14ac:dyDescent="0.3">
      <c r="C120" s="9" t="s">
        <v>20</v>
      </c>
      <c r="D120" s="10"/>
      <c r="E120" s="137">
        <f>152+67</f>
        <v>219</v>
      </c>
    </row>
    <row r="121" spans="2:14" x14ac:dyDescent="0.3">
      <c r="C121" s="9" t="s">
        <v>19</v>
      </c>
      <c r="D121" s="10"/>
      <c r="E121" s="137">
        <f>39+5</f>
        <v>44</v>
      </c>
    </row>
    <row r="122" spans="2:14" x14ac:dyDescent="0.3">
      <c r="C122" s="9" t="s">
        <v>93</v>
      </c>
      <c r="D122" s="10"/>
      <c r="E122" s="137">
        <f>398+23</f>
        <v>421</v>
      </c>
    </row>
    <row r="123" spans="2:14" x14ac:dyDescent="0.3">
      <c r="C123" s="13" t="s">
        <v>96</v>
      </c>
      <c r="D123" s="15"/>
      <c r="E123" s="138">
        <v>0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f>7</f>
        <v>7</v>
      </c>
    </row>
    <row r="127" spans="2:14" x14ac:dyDescent="0.3">
      <c r="C127" s="51" t="s">
        <v>88</v>
      </c>
      <c r="D127" s="10"/>
      <c r="E127" s="137">
        <v>1</v>
      </c>
    </row>
    <row r="128" spans="2:14" x14ac:dyDescent="0.3">
      <c r="C128" s="51" t="s">
        <v>90</v>
      </c>
      <c r="D128" s="10"/>
      <c r="E128" s="137">
        <f>45+1</f>
        <v>46</v>
      </c>
    </row>
    <row r="129" spans="3:15" x14ac:dyDescent="0.3">
      <c r="C129" s="51" t="s">
        <v>92</v>
      </c>
      <c r="D129" s="12"/>
      <c r="E129" s="137">
        <f>925+78+1</f>
        <v>1004</v>
      </c>
    </row>
    <row r="130" spans="3:15" x14ac:dyDescent="0.3">
      <c r="C130" s="51" t="s">
        <v>95</v>
      </c>
      <c r="D130" s="12"/>
      <c r="E130" s="137">
        <f>22+2+39+3</f>
        <v>66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f>2+10</f>
        <v>12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f>27+5</f>
        <v>32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51" t="s">
        <v>100</v>
      </c>
      <c r="D133" s="10"/>
      <c r="E133" s="137">
        <f>2+1</f>
        <v>3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>
        <v>0</v>
      </c>
    </row>
    <row r="137" spans="3:15" x14ac:dyDescent="0.3">
      <c r="C137" s="50" t="s">
        <v>25</v>
      </c>
      <c r="D137" s="10"/>
      <c r="E137" s="139">
        <v>2</v>
      </c>
    </row>
    <row r="138" spans="3:15" x14ac:dyDescent="0.3">
      <c r="C138" s="50" t="s">
        <v>149</v>
      </c>
      <c r="D138" s="10"/>
      <c r="E138" s="139">
        <v>0</v>
      </c>
    </row>
    <row r="139" spans="3:15" x14ac:dyDescent="0.3">
      <c r="C139" s="52" t="s">
        <v>26</v>
      </c>
      <c r="D139" s="15"/>
      <c r="E139" s="138">
        <f>301+65+69</f>
        <v>435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191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0</v>
      </c>
      <c r="F144" s="126">
        <v>0</v>
      </c>
      <c r="G144" s="157">
        <f>SUM(E144:F144)</f>
        <v>0</v>
      </c>
    </row>
    <row r="145" spans="2:14" x14ac:dyDescent="0.3">
      <c r="C145" s="160" t="s">
        <v>13</v>
      </c>
      <c r="D145" s="163"/>
      <c r="E145" s="126">
        <v>0</v>
      </c>
      <c r="F145" s="126" t="s">
        <v>126</v>
      </c>
      <c r="G145" s="157">
        <f>SUM(E145:F145)</f>
        <v>0</v>
      </c>
    </row>
    <row r="146" spans="2:14" x14ac:dyDescent="0.3">
      <c r="C146" s="160" t="s">
        <v>122</v>
      </c>
      <c r="D146" s="163"/>
      <c r="E146" s="126">
        <v>0</v>
      </c>
      <c r="F146" s="126">
        <v>0</v>
      </c>
      <c r="G146" s="157">
        <f>SUM(E146:F146)</f>
        <v>0</v>
      </c>
    </row>
    <row r="147" spans="2:14" x14ac:dyDescent="0.3">
      <c r="C147" s="406" t="s">
        <v>124</v>
      </c>
      <c r="D147" s="407"/>
      <c r="E147" s="127">
        <v>15</v>
      </c>
      <c r="F147" s="127">
        <v>0</v>
      </c>
      <c r="G147" s="157">
        <f>SUM(E147:F147)</f>
        <v>15</v>
      </c>
      <c r="L147" s="10"/>
      <c r="M147" s="29"/>
    </row>
    <row r="148" spans="2:14" x14ac:dyDescent="0.3">
      <c r="C148" s="408" t="s">
        <v>13</v>
      </c>
      <c r="D148" s="409"/>
      <c r="E148" s="127">
        <v>1</v>
      </c>
      <c r="F148" s="127" t="s">
        <v>126</v>
      </c>
      <c r="G148" s="157">
        <f>SUM(E148:F148)</f>
        <v>1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55.8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115" t="s">
        <v>153</v>
      </c>
    </row>
    <row r="152" spans="2:14" ht="19.5" customHeight="1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4" customHeight="1" x14ac:dyDescent="0.3">
      <c r="B153" s="399"/>
      <c r="C153" s="400"/>
      <c r="D153" s="385"/>
      <c r="E153" s="386"/>
      <c r="F153" s="106"/>
    </row>
    <row r="154" spans="2:14" ht="21" customHeight="1" x14ac:dyDescent="0.3">
      <c r="B154" s="372" t="s">
        <v>169</v>
      </c>
      <c r="C154" s="373"/>
      <c r="D154" s="370">
        <v>27</v>
      </c>
      <c r="E154" s="371"/>
      <c r="F154" s="107"/>
    </row>
    <row r="155" spans="2:14" ht="15" customHeight="1" x14ac:dyDescent="0.3">
      <c r="B155" s="372" t="s">
        <v>212</v>
      </c>
      <c r="C155" s="373"/>
      <c r="D155" s="370">
        <v>247</v>
      </c>
      <c r="E155" s="371"/>
      <c r="F155" s="107"/>
    </row>
    <row r="156" spans="2:14" x14ac:dyDescent="0.3">
      <c r="B156" s="372" t="s">
        <v>154</v>
      </c>
      <c r="C156" s="373"/>
      <c r="D156" s="370">
        <v>2060</v>
      </c>
      <c r="E156" s="371"/>
      <c r="F156" s="107"/>
    </row>
    <row r="157" spans="2:14" x14ac:dyDescent="0.3">
      <c r="B157" s="372" t="s">
        <v>155</v>
      </c>
      <c r="C157" s="373"/>
      <c r="D157" s="370">
        <v>280</v>
      </c>
      <c r="E157" s="371"/>
      <c r="F157" s="107"/>
    </row>
    <row r="158" spans="2:14" x14ac:dyDescent="0.3">
      <c r="B158" s="372" t="s">
        <v>156</v>
      </c>
      <c r="C158" s="373"/>
      <c r="D158" s="370">
        <v>2198</v>
      </c>
      <c r="E158" s="371"/>
      <c r="F158" s="107"/>
    </row>
    <row r="159" spans="2:14" x14ac:dyDescent="0.3">
      <c r="B159" s="372" t="s">
        <v>123</v>
      </c>
      <c r="C159" s="373"/>
      <c r="D159" s="370">
        <v>13</v>
      </c>
      <c r="E159" s="371"/>
      <c r="F159" s="107"/>
    </row>
    <row r="160" spans="2:14" x14ac:dyDescent="0.3">
      <c r="B160" s="372" t="s">
        <v>125</v>
      </c>
      <c r="C160" s="373"/>
      <c r="D160" s="370">
        <v>1</v>
      </c>
      <c r="E160" s="371"/>
      <c r="F160" s="107"/>
    </row>
    <row r="161" spans="2:15" x14ac:dyDescent="0.3">
      <c r="B161" s="372" t="s">
        <v>110</v>
      </c>
      <c r="C161" s="373"/>
      <c r="D161" s="370">
        <v>53</v>
      </c>
      <c r="E161" s="371"/>
      <c r="F161" s="107">
        <v>21</v>
      </c>
    </row>
    <row r="162" spans="2:15" x14ac:dyDescent="0.3">
      <c r="B162" s="372" t="s">
        <v>157</v>
      </c>
      <c r="C162" s="373"/>
      <c r="D162" s="370">
        <v>32</v>
      </c>
      <c r="E162" s="371"/>
      <c r="F162" s="107"/>
    </row>
    <row r="163" spans="2:15" ht="25.5" customHeight="1" x14ac:dyDescent="0.3">
      <c r="B163" s="372" t="s">
        <v>128</v>
      </c>
      <c r="C163" s="373"/>
      <c r="D163" s="370">
        <v>5</v>
      </c>
      <c r="E163" s="371"/>
      <c r="F163" s="107"/>
    </row>
    <row r="164" spans="2:15" ht="22.5" customHeight="1" x14ac:dyDescent="0.3">
      <c r="B164" s="395" t="s">
        <v>158</v>
      </c>
      <c r="C164" s="396"/>
      <c r="D164" s="353">
        <v>76</v>
      </c>
      <c r="E164" s="354"/>
      <c r="F164" s="108"/>
    </row>
    <row r="165" spans="2:15" ht="22.5" customHeight="1" x14ac:dyDescent="0.3">
      <c r="B165" s="395" t="s">
        <v>159</v>
      </c>
      <c r="C165" s="396"/>
      <c r="D165" s="353">
        <v>819</v>
      </c>
      <c r="E165" s="354"/>
      <c r="F165" s="108"/>
    </row>
    <row r="166" spans="2:15" ht="24" customHeight="1" x14ac:dyDescent="0.3">
      <c r="B166" s="397" t="s">
        <v>160</v>
      </c>
      <c r="C166" s="398"/>
      <c r="D166" s="355">
        <v>644</v>
      </c>
      <c r="E166" s="356"/>
      <c r="F166" s="109"/>
    </row>
    <row r="167" spans="2:15" ht="21.75" customHeight="1" x14ac:dyDescent="0.3">
      <c r="B167" s="387" t="s">
        <v>161</v>
      </c>
      <c r="C167" s="388"/>
      <c r="D167" s="357">
        <v>584</v>
      </c>
      <c r="E167" s="358"/>
      <c r="F167" s="110"/>
    </row>
    <row r="168" spans="2:15" ht="27" customHeight="1" x14ac:dyDescent="0.3">
      <c r="B168" s="387" t="s">
        <v>162</v>
      </c>
      <c r="C168" s="388"/>
      <c r="D168" s="357">
        <v>380</v>
      </c>
      <c r="E168" s="358"/>
      <c r="F168" s="110"/>
    </row>
    <row r="169" spans="2:15" ht="25.5" customHeight="1" x14ac:dyDescent="0.3">
      <c r="B169" s="389" t="s">
        <v>163</v>
      </c>
      <c r="C169" s="390"/>
      <c r="D169" s="359">
        <v>44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0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38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466</v>
      </c>
    </row>
    <row r="174" spans="2:15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5" ht="15" thickTop="1" x14ac:dyDescent="0.3">
      <c r="B175" s="164" t="s">
        <v>166</v>
      </c>
      <c r="C175" s="165"/>
      <c r="D175" s="343">
        <f>SUM(D152:D174)</f>
        <v>7501</v>
      </c>
      <c r="E175" s="344"/>
      <c r="F175" s="184">
        <f>SUM(F152:F174)</f>
        <v>487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6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26">
        <v>53</v>
      </c>
      <c r="F178" s="337">
        <v>21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v>2198</v>
      </c>
      <c r="F181" s="126"/>
      <c r="I181" s="29"/>
      <c r="J181" s="29"/>
      <c r="K181" s="54"/>
      <c r="L181" s="54"/>
      <c r="M181" s="58"/>
    </row>
    <row r="182" spans="2:14" x14ac:dyDescent="0.3">
      <c r="C182" s="345" t="s">
        <v>114</v>
      </c>
      <c r="D182" s="346"/>
      <c r="E182" s="126">
        <v>2060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38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86</v>
      </c>
      <c r="E187" s="143">
        <v>114</v>
      </c>
      <c r="F187" s="143">
        <v>421</v>
      </c>
      <c r="G187" s="177">
        <v>275</v>
      </c>
      <c r="H187" s="177">
        <v>131</v>
      </c>
      <c r="I187" s="177">
        <v>2</v>
      </c>
      <c r="J187" s="177">
        <v>63</v>
      </c>
      <c r="K187" s="177">
        <v>174</v>
      </c>
      <c r="L187" s="177">
        <v>291</v>
      </c>
      <c r="M187" s="177">
        <f>SUM(D187:L187)</f>
        <v>1557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97</v>
      </c>
      <c r="H188" s="126" t="s">
        <v>126</v>
      </c>
      <c r="I188" s="126" t="s">
        <v>126</v>
      </c>
      <c r="J188" s="126" t="s">
        <v>126</v>
      </c>
      <c r="K188" s="126">
        <v>110</v>
      </c>
      <c r="L188" s="126">
        <v>8</v>
      </c>
      <c r="M188" s="177">
        <f>SUM(D188:L188)</f>
        <v>215</v>
      </c>
    </row>
    <row r="189" spans="2:14" ht="15" thickBot="1" x14ac:dyDescent="0.35">
      <c r="C189" s="38" t="s">
        <v>132</v>
      </c>
      <c r="D189" s="128">
        <v>0</v>
      </c>
      <c r="E189" s="128">
        <v>2</v>
      </c>
      <c r="F189" s="128">
        <v>0</v>
      </c>
      <c r="G189" s="128">
        <v>4</v>
      </c>
      <c r="H189" s="144">
        <v>0</v>
      </c>
      <c r="I189" s="144">
        <v>2</v>
      </c>
      <c r="J189" s="128">
        <v>0</v>
      </c>
      <c r="K189" s="128">
        <v>1</v>
      </c>
      <c r="L189" s="144">
        <v>8</v>
      </c>
      <c r="M189" s="144">
        <f>SUM(D189:L189)</f>
        <v>17</v>
      </c>
    </row>
    <row r="190" spans="2:14" ht="15" thickTop="1" x14ac:dyDescent="0.3">
      <c r="C190" s="38" t="s">
        <v>12</v>
      </c>
      <c r="D190" s="143">
        <f>SUM(D187:D189)</f>
        <v>86</v>
      </c>
      <c r="E190" s="143">
        <f>SUM(E187:E189)</f>
        <v>116</v>
      </c>
      <c r="F190" s="143">
        <f t="shared" ref="F190:L190" si="11">SUM(F187:F189)</f>
        <v>421</v>
      </c>
      <c r="G190" s="143">
        <f t="shared" si="11"/>
        <v>376</v>
      </c>
      <c r="H190" s="177">
        <f t="shared" si="11"/>
        <v>131</v>
      </c>
      <c r="I190" s="143">
        <f t="shared" si="11"/>
        <v>4</v>
      </c>
      <c r="J190" s="143">
        <f t="shared" si="11"/>
        <v>63</v>
      </c>
      <c r="K190" s="143">
        <f t="shared" si="11"/>
        <v>285</v>
      </c>
      <c r="L190" s="177">
        <f t="shared" si="11"/>
        <v>307</v>
      </c>
      <c r="M190" s="177">
        <f>SUM(M187:M189)</f>
        <v>1789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s="68" t="s">
        <v>222</v>
      </c>
      <c r="D196" s="22"/>
      <c r="E196" s="22"/>
      <c r="F196" s="22"/>
      <c r="G196" s="69"/>
      <c r="H196" s="70"/>
      <c r="I196" s="71"/>
      <c r="J196" s="72"/>
      <c r="K196" s="73"/>
      <c r="L196" s="74"/>
      <c r="M196" s="74"/>
      <c r="N196" s="75"/>
    </row>
    <row r="197" spans="2:14" x14ac:dyDescent="0.3">
      <c r="B197" s="9" t="s">
        <v>223</v>
      </c>
      <c r="C197" s="22"/>
      <c r="D197" s="22"/>
      <c r="E197" s="22"/>
      <c r="F197" s="22"/>
      <c r="G197" s="72"/>
      <c r="H197" s="70" t="s">
        <v>218</v>
      </c>
      <c r="I197" s="72"/>
      <c r="J197" s="72"/>
      <c r="K197" s="72"/>
      <c r="L197" s="76"/>
      <c r="M197" s="76"/>
      <c r="N197" s="77"/>
    </row>
    <row r="198" spans="2:14" x14ac:dyDescent="0.3">
      <c r="B198" s="78" t="s">
        <v>136</v>
      </c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3">
      <c r="B199" s="80" t="s">
        <v>213</v>
      </c>
      <c r="C199" s="10"/>
      <c r="D199" s="10"/>
      <c r="E199" s="10"/>
      <c r="F199" s="10"/>
      <c r="G199" s="10"/>
      <c r="H199" s="79"/>
      <c r="I199" s="10"/>
      <c r="J199" s="10"/>
      <c r="K199" s="10"/>
      <c r="L199" s="10"/>
      <c r="M199" s="10"/>
      <c r="N199" s="30"/>
    </row>
    <row r="200" spans="2:14" ht="17.399999999999999" x14ac:dyDescent="0.3">
      <c r="B200" s="81" t="s">
        <v>214</v>
      </c>
      <c r="C200" s="82"/>
      <c r="D200" s="22"/>
      <c r="E200" s="22"/>
      <c r="F200" s="22"/>
      <c r="G200" s="72"/>
      <c r="H200" s="10"/>
      <c r="I200" s="72"/>
      <c r="J200" s="71"/>
      <c r="K200" s="83"/>
      <c r="L200" s="22"/>
      <c r="M200" s="22"/>
      <c r="N200" s="84"/>
    </row>
    <row r="201" spans="2:14" ht="17.399999999999999" x14ac:dyDescent="0.3">
      <c r="B201" s="80" t="s">
        <v>215</v>
      </c>
      <c r="C201" s="22"/>
      <c r="D201" s="22"/>
      <c r="E201" s="22"/>
      <c r="F201" s="22"/>
      <c r="G201" s="72"/>
      <c r="H201" s="79" t="s">
        <v>95</v>
      </c>
      <c r="I201" s="71"/>
      <c r="J201" s="72"/>
      <c r="K201" s="72"/>
      <c r="L201" s="22"/>
      <c r="M201" s="22"/>
      <c r="N201" s="84"/>
    </row>
    <row r="202" spans="2:14" ht="17.399999999999999" x14ac:dyDescent="0.3">
      <c r="B202" s="80" t="s">
        <v>217</v>
      </c>
      <c r="C202" s="82"/>
      <c r="D202" s="22"/>
      <c r="E202" s="22"/>
      <c r="F202" s="22"/>
      <c r="G202" s="22"/>
      <c r="H202" s="85"/>
      <c r="I202" s="71"/>
      <c r="J202" s="71"/>
      <c r="K202" s="71"/>
      <c r="L202" s="71"/>
      <c r="M202" s="22"/>
      <c r="N202" s="84"/>
    </row>
    <row r="203" spans="2:14" x14ac:dyDescent="0.3">
      <c r="B203" s="81" t="s">
        <v>221</v>
      </c>
      <c r="C203" s="22"/>
      <c r="D203" s="79"/>
      <c r="E203" s="22"/>
      <c r="F203" s="79"/>
      <c r="G203" s="86"/>
      <c r="H203" s="70"/>
      <c r="I203" s="10"/>
      <c r="J203" s="72"/>
      <c r="K203" s="72"/>
      <c r="L203" s="22"/>
      <c r="M203" s="22"/>
      <c r="N203" s="84"/>
    </row>
    <row r="204" spans="2:14" x14ac:dyDescent="0.3">
      <c r="B204" s="197"/>
      <c r="C204" s="22"/>
      <c r="D204" s="22"/>
      <c r="E204" s="22"/>
      <c r="F204" s="22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3">
      <c r="B205" s="197"/>
      <c r="C205" s="22"/>
      <c r="D205" s="22"/>
      <c r="E205" s="22"/>
      <c r="F205" s="22"/>
      <c r="G205" s="86"/>
      <c r="H205" s="79" t="s">
        <v>168</v>
      </c>
      <c r="I205" s="10"/>
      <c r="J205" s="10"/>
      <c r="K205" s="10"/>
      <c r="L205" s="22"/>
      <c r="M205" s="22"/>
      <c r="N205" s="84"/>
    </row>
    <row r="206" spans="2:14" x14ac:dyDescent="0.3">
      <c r="B206" s="78" t="s">
        <v>28</v>
      </c>
      <c r="C206" s="22"/>
      <c r="D206" s="22"/>
      <c r="E206" s="22"/>
      <c r="F206" s="22"/>
      <c r="G206" s="69"/>
      <c r="H206" s="85"/>
      <c r="I206" s="10"/>
      <c r="J206" s="72"/>
      <c r="K206" s="72"/>
      <c r="L206" s="76"/>
      <c r="M206" s="76"/>
      <c r="N206" s="77"/>
    </row>
    <row r="207" spans="2:14" x14ac:dyDescent="0.3">
      <c r="B207" s="80"/>
      <c r="C207" s="22"/>
      <c r="D207" s="22"/>
      <c r="E207" s="22"/>
      <c r="F207" s="22"/>
      <c r="G207" s="69"/>
      <c r="H207" s="10"/>
      <c r="I207" s="10"/>
      <c r="J207" s="72"/>
      <c r="K207" s="10"/>
      <c r="L207" s="76"/>
      <c r="M207" s="76"/>
      <c r="N207" s="77"/>
    </row>
    <row r="208" spans="2:14" x14ac:dyDescent="0.3">
      <c r="B208" s="9"/>
      <c r="C208" s="22"/>
      <c r="D208" s="22"/>
      <c r="E208" s="22"/>
      <c r="F208" s="22"/>
      <c r="G208" s="69"/>
      <c r="H208" s="88" t="s">
        <v>138</v>
      </c>
      <c r="I208" s="10"/>
      <c r="J208" s="72"/>
      <c r="K208" s="72"/>
      <c r="L208" s="76"/>
      <c r="M208" s="76"/>
      <c r="N208" s="77"/>
    </row>
    <row r="209" spans="2:14" ht="17.399999999999999" x14ac:dyDescent="0.3">
      <c r="B209" s="87" t="s">
        <v>137</v>
      </c>
      <c r="C209" s="22"/>
      <c r="D209" s="22"/>
      <c r="E209" s="22"/>
      <c r="F209" s="22"/>
      <c r="G209" s="69"/>
      <c r="H209" s="70"/>
      <c r="I209" s="10"/>
      <c r="J209" s="71"/>
      <c r="K209" s="71"/>
      <c r="L209" s="76"/>
      <c r="M209" s="76"/>
      <c r="N209" s="77"/>
    </row>
    <row r="210" spans="2:14" x14ac:dyDescent="0.3">
      <c r="B210" s="80" t="s">
        <v>228</v>
      </c>
      <c r="C210" s="22"/>
      <c r="D210" s="22"/>
      <c r="E210" s="22"/>
      <c r="F210" s="22"/>
      <c r="G210" s="69"/>
      <c r="H210" s="70"/>
      <c r="I210" s="10"/>
      <c r="J210" s="10"/>
      <c r="K210" s="10"/>
      <c r="L210" s="10"/>
      <c r="M210" s="10"/>
      <c r="N210" s="30"/>
    </row>
    <row r="211" spans="2:14" x14ac:dyDescent="0.3">
      <c r="B211" s="80" t="s">
        <v>224</v>
      </c>
      <c r="C211" s="22"/>
      <c r="D211" s="22"/>
      <c r="E211" s="10"/>
      <c r="F211" s="10"/>
      <c r="G211" s="10"/>
      <c r="H211" s="85"/>
      <c r="I211" s="10"/>
      <c r="J211" s="10"/>
      <c r="K211" s="10"/>
      <c r="L211" s="76"/>
      <c r="M211" s="76"/>
      <c r="N211" s="77"/>
    </row>
    <row r="212" spans="2:14" x14ac:dyDescent="0.3">
      <c r="B212" s="80"/>
      <c r="C212" s="22" t="s">
        <v>216</v>
      </c>
      <c r="D212" s="22"/>
      <c r="E212" s="22"/>
      <c r="F212" s="22"/>
      <c r="G212" s="69"/>
      <c r="H212" s="85"/>
      <c r="I212" s="10"/>
      <c r="J212" s="72"/>
      <c r="K212" s="72"/>
      <c r="L212" s="76"/>
      <c r="M212" s="76"/>
      <c r="N212" s="77"/>
    </row>
    <row r="213" spans="2:14" x14ac:dyDescent="0.3">
      <c r="B213" s="197"/>
      <c r="C213" s="82" t="s">
        <v>225</v>
      </c>
      <c r="D213" s="79"/>
      <c r="E213" s="22"/>
      <c r="F213" s="22"/>
      <c r="G213" s="69"/>
      <c r="H213" s="89"/>
      <c r="I213" s="10"/>
      <c r="J213" s="22"/>
      <c r="K213" s="72"/>
      <c r="L213" s="10"/>
      <c r="M213" s="10"/>
      <c r="N213" s="30"/>
    </row>
    <row r="214" spans="2:14" ht="17.399999999999999" x14ac:dyDescent="0.3">
      <c r="B214" s="197" t="s">
        <v>226</v>
      </c>
      <c r="C214" s="22"/>
      <c r="D214" s="22"/>
      <c r="E214" s="22"/>
      <c r="F214" s="82"/>
      <c r="G214" s="22"/>
      <c r="H214" s="85"/>
      <c r="I214" s="10"/>
      <c r="J214" s="71"/>
      <c r="K214" s="71"/>
      <c r="L214" s="22"/>
      <c r="M214" s="22"/>
      <c r="N214" s="84"/>
    </row>
    <row r="215" spans="2:14" ht="17.399999999999999" x14ac:dyDescent="0.3">
      <c r="B215" s="197"/>
      <c r="C215" s="22" t="s">
        <v>227</v>
      </c>
      <c r="D215" s="22"/>
      <c r="E215" s="22"/>
      <c r="F215" s="82"/>
      <c r="G215" s="22"/>
      <c r="H215" s="85"/>
      <c r="I215" s="10"/>
      <c r="J215" s="71"/>
      <c r="K215" s="71"/>
      <c r="L215" s="22"/>
      <c r="M215" s="22"/>
      <c r="N215" s="84"/>
    </row>
    <row r="216" spans="2:14" ht="17.399999999999999" x14ac:dyDescent="0.3">
      <c r="B216" s="81" t="s">
        <v>229</v>
      </c>
      <c r="C216" s="22"/>
      <c r="D216" s="22"/>
      <c r="E216" s="22"/>
      <c r="F216" s="22"/>
      <c r="G216" s="69"/>
      <c r="H216" s="85"/>
      <c r="I216" s="73"/>
      <c r="J216" s="72"/>
      <c r="K216" s="73"/>
      <c r="L216" s="74"/>
      <c r="M216" s="74"/>
      <c r="N216" s="84"/>
    </row>
    <row r="217" spans="2:14" ht="17.399999999999999" x14ac:dyDescent="0.3">
      <c r="B217" s="90"/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3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4">
    <mergeCell ref="G152:I152"/>
    <mergeCell ref="F178:G178"/>
    <mergeCell ref="C181:D181"/>
    <mergeCell ref="C182:D182"/>
    <mergeCell ref="C183:D183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D166:E166"/>
    <mergeCell ref="B161:C161"/>
    <mergeCell ref="D161:E161"/>
    <mergeCell ref="B162:C162"/>
    <mergeCell ref="D162:E162"/>
    <mergeCell ref="B163:C163"/>
    <mergeCell ref="D163:E163"/>
    <mergeCell ref="B158:C158"/>
    <mergeCell ref="D158:E158"/>
    <mergeCell ref="B159:C159"/>
    <mergeCell ref="D159:E159"/>
    <mergeCell ref="B160:C160"/>
    <mergeCell ref="D160:E160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C147:D147"/>
    <mergeCell ref="C148:D148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</mergeCells>
  <pageMargins left="0.7" right="0.7" top="0.75" bottom="0.75" header="0.3" footer="0.3"/>
  <pageSetup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9"/>
  <sheetViews>
    <sheetView topLeftCell="A65" workbookViewId="0">
      <selection activeCell="E60" sqref="E60"/>
    </sheetView>
  </sheetViews>
  <sheetFormatPr defaultRowHeight="14.4" x14ac:dyDescent="0.3"/>
  <cols>
    <col min="3" max="3" width="13.6640625" customWidth="1"/>
    <col min="4" max="4" width="10.109375" customWidth="1"/>
    <col min="7" max="7" width="10" customWidth="1"/>
    <col min="8" max="8" width="10.5546875" bestFit="1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 t="s">
        <v>189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37" t="s">
        <v>17</v>
      </c>
      <c r="D6" s="126">
        <v>84</v>
      </c>
      <c r="E6" s="126">
        <v>0</v>
      </c>
      <c r="F6" s="126">
        <v>154</v>
      </c>
      <c r="G6" s="127">
        <v>282</v>
      </c>
      <c r="H6" s="127">
        <v>82</v>
      </c>
      <c r="I6" s="127">
        <v>1</v>
      </c>
      <c r="J6" s="127">
        <v>4</v>
      </c>
      <c r="K6" s="127">
        <v>91</v>
      </c>
      <c r="L6" s="127">
        <v>59</v>
      </c>
      <c r="M6" s="127">
        <f>SUM(D6:L6)</f>
        <v>757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258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11</v>
      </c>
      <c r="H8" s="127">
        <v>18</v>
      </c>
      <c r="I8" s="127">
        <v>1</v>
      </c>
      <c r="J8" s="126">
        <v>0</v>
      </c>
      <c r="K8" s="126">
        <v>23</v>
      </c>
      <c r="L8" s="127">
        <v>0</v>
      </c>
      <c r="M8" s="127">
        <f>SUM(D8:L8)</f>
        <v>73</v>
      </c>
    </row>
    <row r="9" spans="2:15" x14ac:dyDescent="0.3">
      <c r="C9" s="38" t="s">
        <v>20</v>
      </c>
      <c r="D9" s="126">
        <v>5</v>
      </c>
      <c r="E9" s="126">
        <v>4</v>
      </c>
      <c r="F9" s="126">
        <v>19</v>
      </c>
      <c r="G9" s="126">
        <v>49</v>
      </c>
      <c r="H9" s="127">
        <v>21</v>
      </c>
      <c r="I9" s="126">
        <v>1</v>
      </c>
      <c r="J9" s="126">
        <v>2</v>
      </c>
      <c r="K9" s="126">
        <v>24</v>
      </c>
      <c r="L9" s="127">
        <v>3</v>
      </c>
      <c r="M9" s="127">
        <f>SUM(D9:L9)</f>
        <v>128</v>
      </c>
    </row>
    <row r="10" spans="2:15" x14ac:dyDescent="0.3">
      <c r="C10" s="38" t="s">
        <v>21</v>
      </c>
      <c r="D10" s="127">
        <v>174</v>
      </c>
      <c r="E10" s="126">
        <v>84</v>
      </c>
      <c r="F10" s="126">
        <v>312</v>
      </c>
      <c r="G10" s="126">
        <v>326</v>
      </c>
      <c r="H10" s="127">
        <v>173</v>
      </c>
      <c r="I10" s="126">
        <v>13</v>
      </c>
      <c r="J10" s="126">
        <v>9</v>
      </c>
      <c r="K10" s="126">
        <v>607</v>
      </c>
      <c r="L10" s="127">
        <v>176</v>
      </c>
      <c r="M10" s="127">
        <f>SUM(D10:L10)</f>
        <v>1874</v>
      </c>
    </row>
    <row r="11" spans="2:15" x14ac:dyDescent="0.3">
      <c r="C11" s="38" t="s">
        <v>12</v>
      </c>
      <c r="D11" s="127">
        <f t="shared" ref="D11:M11" si="0">SUM(D6:D10)</f>
        <v>265</v>
      </c>
      <c r="E11" s="126">
        <f t="shared" si="0"/>
        <v>90</v>
      </c>
      <c r="F11" s="127">
        <f t="shared" si="0"/>
        <v>503</v>
      </c>
      <c r="G11" s="127">
        <f t="shared" si="0"/>
        <v>668</v>
      </c>
      <c r="H11" s="127">
        <f t="shared" si="0"/>
        <v>295</v>
      </c>
      <c r="I11" s="126">
        <f t="shared" si="0"/>
        <v>16</v>
      </c>
      <c r="J11" s="126">
        <f t="shared" si="0"/>
        <v>15</v>
      </c>
      <c r="K11" s="126">
        <f t="shared" si="0"/>
        <v>745</v>
      </c>
      <c r="L11" s="126">
        <f t="shared" si="0"/>
        <v>240</v>
      </c>
      <c r="M11" s="127">
        <f t="shared" si="0"/>
        <v>2837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37" t="s">
        <v>24</v>
      </c>
      <c r="D16" s="126">
        <v>64</v>
      </c>
      <c r="E16" s="126">
        <v>2</v>
      </c>
      <c r="F16" s="126">
        <v>34</v>
      </c>
      <c r="G16" s="126">
        <v>207</v>
      </c>
      <c r="H16" s="126">
        <v>133</v>
      </c>
      <c r="I16" s="126">
        <v>18</v>
      </c>
      <c r="J16" s="126">
        <v>10</v>
      </c>
      <c r="K16" s="126">
        <v>150</v>
      </c>
      <c r="L16" s="126">
        <v>38</v>
      </c>
      <c r="M16" s="127">
        <f>SUM(D16:L16)</f>
        <v>656</v>
      </c>
    </row>
    <row r="17" spans="2:13" x14ac:dyDescent="0.3">
      <c r="C17" s="38" t="s">
        <v>25</v>
      </c>
      <c r="D17" s="126">
        <v>14</v>
      </c>
      <c r="E17" s="126">
        <v>1</v>
      </c>
      <c r="F17" s="126">
        <v>32</v>
      </c>
      <c r="G17" s="126">
        <v>67</v>
      </c>
      <c r="H17" s="126">
        <v>87</v>
      </c>
      <c r="I17" s="126">
        <v>6</v>
      </c>
      <c r="J17" s="126">
        <v>2</v>
      </c>
      <c r="K17" s="126">
        <v>42</v>
      </c>
      <c r="L17" s="126">
        <v>9</v>
      </c>
      <c r="M17" s="127">
        <f t="shared" ref="M17:M21" si="1">SUM(D17:L17)</f>
        <v>260</v>
      </c>
    </row>
    <row r="18" spans="2:13" x14ac:dyDescent="0.3">
      <c r="C18" s="38" t="s">
        <v>26</v>
      </c>
      <c r="D18" s="126">
        <v>149</v>
      </c>
      <c r="E18" s="126">
        <v>272</v>
      </c>
      <c r="F18" s="126">
        <v>359</v>
      </c>
      <c r="G18" s="126">
        <v>262</v>
      </c>
      <c r="H18" s="126">
        <v>294</v>
      </c>
      <c r="I18" s="126">
        <v>5</v>
      </c>
      <c r="J18" s="126">
        <v>49</v>
      </c>
      <c r="K18" s="126">
        <v>369</v>
      </c>
      <c r="L18" s="126">
        <v>68</v>
      </c>
      <c r="M18" s="127">
        <f t="shared" si="1"/>
        <v>1827</v>
      </c>
    </row>
    <row r="19" spans="2:13" x14ac:dyDescent="0.3">
      <c r="C19" s="38" t="s">
        <v>27</v>
      </c>
      <c r="D19" s="126">
        <v>55</v>
      </c>
      <c r="E19" s="126">
        <v>66</v>
      </c>
      <c r="F19" s="126">
        <v>37</v>
      </c>
      <c r="G19" s="126">
        <v>59</v>
      </c>
      <c r="H19" s="126">
        <v>46</v>
      </c>
      <c r="I19" s="126">
        <v>32</v>
      </c>
      <c r="J19" s="126">
        <v>9</v>
      </c>
      <c r="K19" s="126">
        <f>16+38</f>
        <v>54</v>
      </c>
      <c r="L19" s="126">
        <v>30</v>
      </c>
      <c r="M19" s="127">
        <f t="shared" si="1"/>
        <v>388</v>
      </c>
    </row>
    <row r="20" spans="2:13" x14ac:dyDescent="0.3">
      <c r="C20" s="38" t="s">
        <v>28</v>
      </c>
      <c r="D20" s="126">
        <f t="shared" ref="D20:L20" si="2">SUM(D59)</f>
        <v>15</v>
      </c>
      <c r="E20" s="126">
        <f t="shared" si="2"/>
        <v>15</v>
      </c>
      <c r="F20" s="126">
        <f t="shared" si="2"/>
        <v>36</v>
      </c>
      <c r="G20" s="126">
        <f t="shared" si="2"/>
        <v>24</v>
      </c>
      <c r="H20" s="126">
        <f t="shared" si="2"/>
        <v>26</v>
      </c>
      <c r="I20" s="126">
        <f t="shared" si="2"/>
        <v>22</v>
      </c>
      <c r="J20" s="126">
        <f t="shared" si="2"/>
        <v>5</v>
      </c>
      <c r="K20" s="126">
        <f t="shared" si="2"/>
        <v>69</v>
      </c>
      <c r="L20" s="126">
        <f t="shared" si="2"/>
        <v>21</v>
      </c>
      <c r="M20" s="127">
        <f t="shared" si="1"/>
        <v>233</v>
      </c>
    </row>
    <row r="21" spans="2:13" x14ac:dyDescent="0.3">
      <c r="C21" s="38" t="s">
        <v>12</v>
      </c>
      <c r="D21" s="127">
        <f>SUM(D16:D20)</f>
        <v>297</v>
      </c>
      <c r="E21" s="127">
        <f t="shared" ref="E21:L21" si="3">SUM(E16:E20)</f>
        <v>356</v>
      </c>
      <c r="F21" s="127">
        <f t="shared" si="3"/>
        <v>498</v>
      </c>
      <c r="G21" s="127">
        <f t="shared" si="3"/>
        <v>619</v>
      </c>
      <c r="H21" s="127">
        <f t="shared" si="3"/>
        <v>586</v>
      </c>
      <c r="I21" s="127">
        <f t="shared" si="3"/>
        <v>83</v>
      </c>
      <c r="J21" s="127">
        <f t="shared" si="3"/>
        <v>75</v>
      </c>
      <c r="K21" s="127">
        <f t="shared" si="3"/>
        <v>684</v>
      </c>
      <c r="L21" s="127">
        <f t="shared" si="3"/>
        <v>166</v>
      </c>
      <c r="M21" s="127">
        <f t="shared" si="1"/>
        <v>3364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3</v>
      </c>
      <c r="G23" s="126">
        <v>0</v>
      </c>
      <c r="H23" s="126">
        <v>0</v>
      </c>
      <c r="I23" s="126">
        <v>0</v>
      </c>
      <c r="J23" s="126">
        <v>0</v>
      </c>
      <c r="K23" s="126">
        <v>6</v>
      </c>
      <c r="L23" s="126">
        <v>0</v>
      </c>
      <c r="M23" s="261">
        <f>SUM(D23:L23)</f>
        <v>9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48</v>
      </c>
      <c r="G24" s="126">
        <v>0</v>
      </c>
      <c r="H24" s="126">
        <v>0</v>
      </c>
      <c r="I24" s="126">
        <v>0</v>
      </c>
      <c r="J24" s="126">
        <v>0</v>
      </c>
      <c r="K24" s="126">
        <v>93</v>
      </c>
      <c r="L24" s="126">
        <v>0</v>
      </c>
      <c r="M24" s="134">
        <f>SUM(D24:L24)</f>
        <v>141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263">
        <v>3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263">
        <v>6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>
        <v>5</v>
      </c>
      <c r="E31" s="126">
        <v>3</v>
      </c>
      <c r="F31" s="126">
        <v>14</v>
      </c>
      <c r="G31" s="127">
        <v>12</v>
      </c>
      <c r="H31" s="127">
        <v>3</v>
      </c>
      <c r="I31" s="127"/>
      <c r="J31" s="127"/>
      <c r="K31" s="127">
        <v>14</v>
      </c>
      <c r="L31" s="127">
        <v>9</v>
      </c>
      <c r="M31" s="127">
        <f t="shared" ref="M31:M58" si="4">SUM(D31:L31)</f>
        <v>60</v>
      </c>
    </row>
    <row r="32" spans="2:13" x14ac:dyDescent="0.3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4"/>
        <v>0</v>
      </c>
    </row>
    <row r="33" spans="3:13" x14ac:dyDescent="0.3">
      <c r="C33" s="38" t="s">
        <v>35</v>
      </c>
      <c r="D33" s="126">
        <v>4</v>
      </c>
      <c r="E33" s="126">
        <v>3</v>
      </c>
      <c r="F33" s="126">
        <v>7</v>
      </c>
      <c r="G33" s="126">
        <v>9</v>
      </c>
      <c r="H33" s="127">
        <v>9</v>
      </c>
      <c r="I33" s="127">
        <v>13</v>
      </c>
      <c r="J33" s="126">
        <v>5</v>
      </c>
      <c r="K33" s="126">
        <v>17</v>
      </c>
      <c r="L33" s="127">
        <v>4</v>
      </c>
      <c r="M33" s="127">
        <f t="shared" si="4"/>
        <v>71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4"/>
        <v>0</v>
      </c>
    </row>
    <row r="35" spans="3:13" x14ac:dyDescent="0.3">
      <c r="C35" s="38" t="s">
        <v>37</v>
      </c>
      <c r="D35" s="127"/>
      <c r="E35" s="126"/>
      <c r="F35" s="126"/>
      <c r="G35" s="126"/>
      <c r="H35" s="127"/>
      <c r="I35" s="126"/>
      <c r="J35" s="126"/>
      <c r="K35" s="126"/>
      <c r="L35" s="127"/>
      <c r="M35" s="127">
        <f t="shared" si="4"/>
        <v>0</v>
      </c>
    </row>
    <row r="36" spans="3:13" x14ac:dyDescent="0.3">
      <c r="C36" s="38" t="s">
        <v>38</v>
      </c>
      <c r="D36" s="127"/>
      <c r="E36" s="126"/>
      <c r="F36" s="127"/>
      <c r="G36" s="127"/>
      <c r="H36" s="127"/>
      <c r="I36" s="126"/>
      <c r="J36" s="126"/>
      <c r="K36" s="126"/>
      <c r="L36" s="126"/>
      <c r="M36" s="127">
        <f t="shared" si="4"/>
        <v>0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>
        <v>1</v>
      </c>
      <c r="I39" s="127"/>
      <c r="J39" s="126"/>
      <c r="K39" s="126"/>
      <c r="L39" s="127"/>
      <c r="M39" s="127">
        <f t="shared" si="4"/>
        <v>1</v>
      </c>
    </row>
    <row r="40" spans="3:13" x14ac:dyDescent="0.3">
      <c r="C40" s="38" t="s">
        <v>42</v>
      </c>
      <c r="D40" s="126"/>
      <c r="E40" s="126"/>
      <c r="F40" s="127"/>
      <c r="G40" s="127"/>
      <c r="H40" s="127"/>
      <c r="I40" s="127"/>
      <c r="J40" s="126"/>
      <c r="K40" s="126"/>
      <c r="L40" s="127"/>
      <c r="M40" s="127">
        <f t="shared" si="4"/>
        <v>0</v>
      </c>
    </row>
    <row r="41" spans="3:13" x14ac:dyDescent="0.3">
      <c r="C41" s="38" t="s">
        <v>43</v>
      </c>
      <c r="D41" s="126">
        <v>1</v>
      </c>
      <c r="E41" s="126"/>
      <c r="F41" s="127">
        <v>6</v>
      </c>
      <c r="G41" s="127"/>
      <c r="H41" s="127">
        <v>3</v>
      </c>
      <c r="I41" s="127">
        <v>1</v>
      </c>
      <c r="J41" s="126"/>
      <c r="K41" s="126">
        <v>25</v>
      </c>
      <c r="L41" s="127">
        <v>4</v>
      </c>
      <c r="M41" s="127">
        <f t="shared" si="4"/>
        <v>40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4"/>
        <v>0</v>
      </c>
    </row>
    <row r="43" spans="3:13" x14ac:dyDescent="0.3">
      <c r="C43" s="37" t="s">
        <v>45</v>
      </c>
      <c r="D43" s="126"/>
      <c r="E43" s="126"/>
      <c r="F43" s="127"/>
      <c r="G43" s="127"/>
      <c r="H43" s="127">
        <v>1</v>
      </c>
      <c r="I43" s="127">
        <v>6</v>
      </c>
      <c r="J43" s="127"/>
      <c r="K43" s="127"/>
      <c r="L43" s="127"/>
      <c r="M43" s="127">
        <f t="shared" si="4"/>
        <v>7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3">
      <c r="C48" s="37" t="s">
        <v>50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>
        <f t="shared" si="4"/>
        <v>0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3">
      <c r="C51" s="38" t="s">
        <v>53</v>
      </c>
      <c r="D51" s="127">
        <v>2</v>
      </c>
      <c r="E51" s="126">
        <v>2</v>
      </c>
      <c r="F51" s="127"/>
      <c r="G51" s="127"/>
      <c r="H51" s="127">
        <v>1</v>
      </c>
      <c r="I51" s="127">
        <v>1</v>
      </c>
      <c r="J51" s="127"/>
      <c r="K51" s="127">
        <v>2</v>
      </c>
      <c r="L51" s="127"/>
      <c r="M51" s="127">
        <f t="shared" si="4"/>
        <v>8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3">
      <c r="C53" s="38" t="s">
        <v>167</v>
      </c>
      <c r="D53" s="127"/>
      <c r="E53" s="126"/>
      <c r="F53" s="127">
        <v>1</v>
      </c>
      <c r="G53" s="127"/>
      <c r="H53" s="127">
        <v>4</v>
      </c>
      <c r="I53" s="127"/>
      <c r="J53" s="127"/>
      <c r="K53" s="127">
        <v>5</v>
      </c>
      <c r="L53" s="127">
        <v>1</v>
      </c>
      <c r="M53" s="127">
        <f t="shared" si="4"/>
        <v>11</v>
      </c>
    </row>
    <row r="54" spans="2:14" x14ac:dyDescent="0.3">
      <c r="C54" s="38" t="s">
        <v>55</v>
      </c>
      <c r="D54" s="127"/>
      <c r="E54" s="126"/>
      <c r="F54" s="127"/>
      <c r="G54" s="127"/>
      <c r="H54" s="127"/>
      <c r="I54" s="127"/>
      <c r="J54" s="127"/>
      <c r="K54" s="127"/>
      <c r="L54" s="127"/>
      <c r="M54" s="127">
        <f t="shared" si="4"/>
        <v>0</v>
      </c>
    </row>
    <row r="55" spans="2:14" x14ac:dyDescent="0.3">
      <c r="C55" s="38" t="s">
        <v>56</v>
      </c>
      <c r="D55" s="126">
        <v>3</v>
      </c>
      <c r="E55" s="126">
        <v>1</v>
      </c>
      <c r="F55" s="126">
        <v>5</v>
      </c>
      <c r="G55" s="127">
        <v>3</v>
      </c>
      <c r="H55" s="126">
        <v>3</v>
      </c>
      <c r="I55" s="127">
        <v>1</v>
      </c>
      <c r="J55" s="127"/>
      <c r="K55" s="127">
        <v>3</v>
      </c>
      <c r="L55" s="127">
        <v>3</v>
      </c>
      <c r="M55" s="127">
        <f t="shared" si="4"/>
        <v>22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3">
      <c r="C57" s="34" t="s">
        <v>58</v>
      </c>
      <c r="D57" s="126"/>
      <c r="E57" s="266">
        <v>6</v>
      </c>
      <c r="F57" s="126"/>
      <c r="G57" s="127"/>
      <c r="H57" s="126"/>
      <c r="I57" s="127"/>
      <c r="J57" s="126"/>
      <c r="K57" s="126"/>
      <c r="L57" s="127"/>
      <c r="M57" s="127">
        <f t="shared" si="4"/>
        <v>6</v>
      </c>
    </row>
    <row r="58" spans="2:14" ht="15" thickBot="1" x14ac:dyDescent="0.35">
      <c r="C58" s="118" t="s">
        <v>59</v>
      </c>
      <c r="D58" s="145"/>
      <c r="E58" s="118"/>
      <c r="F58" s="128">
        <v>3</v>
      </c>
      <c r="G58" s="128"/>
      <c r="H58" s="128">
        <v>1</v>
      </c>
      <c r="I58" s="128"/>
      <c r="J58" s="128"/>
      <c r="K58" s="128">
        <v>3</v>
      </c>
      <c r="L58" s="128"/>
      <c r="M58" s="144">
        <f t="shared" si="4"/>
        <v>7</v>
      </c>
    </row>
    <row r="59" spans="2:14" ht="15" thickTop="1" x14ac:dyDescent="0.3">
      <c r="C59" s="36" t="s">
        <v>29</v>
      </c>
      <c r="D59" s="143">
        <f t="shared" ref="D59:M59" si="5">SUM(D31:D58)</f>
        <v>15</v>
      </c>
      <c r="E59" s="143">
        <f>SUM(E31:E58)</f>
        <v>15</v>
      </c>
      <c r="F59" s="143">
        <f t="shared" si="5"/>
        <v>36</v>
      </c>
      <c r="G59" s="143">
        <f t="shared" si="5"/>
        <v>24</v>
      </c>
      <c r="H59" s="143">
        <f t="shared" si="5"/>
        <v>26</v>
      </c>
      <c r="I59" s="143">
        <f t="shared" si="5"/>
        <v>22</v>
      </c>
      <c r="J59" s="143">
        <f t="shared" si="5"/>
        <v>5</v>
      </c>
      <c r="K59" s="143">
        <f t="shared" si="5"/>
        <v>69</v>
      </c>
      <c r="L59" s="143">
        <f t="shared" si="5"/>
        <v>21</v>
      </c>
      <c r="M59" s="143">
        <f t="shared" si="5"/>
        <v>233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76" t="s">
        <v>12</v>
      </c>
    </row>
    <row r="64" spans="2:14" x14ac:dyDescent="0.3">
      <c r="B64" s="365" t="s">
        <v>140</v>
      </c>
      <c r="C64" s="366"/>
      <c r="D64" s="118">
        <v>3347</v>
      </c>
      <c r="E64" s="118">
        <v>76</v>
      </c>
      <c r="F64" s="118">
        <v>12923</v>
      </c>
      <c r="G64" s="118">
        <v>11789</v>
      </c>
      <c r="H64" s="118">
        <v>9099</v>
      </c>
      <c r="I64" s="118">
        <v>102</v>
      </c>
      <c r="J64" s="118">
        <v>58</v>
      </c>
      <c r="K64" s="118">
        <v>11509</v>
      </c>
      <c r="L64" s="118">
        <v>1832</v>
      </c>
      <c r="M64" s="118">
        <f>SUM(D64:L64)</f>
        <v>50735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16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144</v>
      </c>
      <c r="N68" s="16"/>
    </row>
    <row r="69" spans="2:14" x14ac:dyDescent="0.3">
      <c r="B69" s="28" t="s">
        <v>73</v>
      </c>
      <c r="C69" s="260" t="s">
        <v>74</v>
      </c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</row>
    <row r="70" spans="2:14" x14ac:dyDescent="0.3">
      <c r="B70" s="28" t="s">
        <v>75</v>
      </c>
      <c r="C70" s="118">
        <v>45013</v>
      </c>
      <c r="D70" s="118">
        <f>64+39+25+22</f>
        <v>150</v>
      </c>
      <c r="E70" s="118">
        <v>993</v>
      </c>
      <c r="F70" s="118">
        <f>40+13+8+77+5+30+67+1</f>
        <v>241</v>
      </c>
      <c r="G70" s="118">
        <f>48+3+18+4+1+5+4+5+2+32+16+11+4+64+3+4+2+9+3+10+2+6+19+14+4+8+1+15+1+20+7+1+6+3+11+7+8+3+24+5+1+1+2+3</f>
        <v>420</v>
      </c>
      <c r="H70" s="118">
        <v>117</v>
      </c>
      <c r="I70" s="118">
        <f>21+184+4139</f>
        <v>4344</v>
      </c>
      <c r="J70" s="118">
        <v>18</v>
      </c>
      <c r="K70" s="118">
        <v>17</v>
      </c>
      <c r="L70" s="118">
        <v>215</v>
      </c>
      <c r="M70" s="118">
        <f>4933+179</f>
        <v>5112</v>
      </c>
      <c r="N70" s="118">
        <f>SUM(C70:M70)</f>
        <v>56640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4933</v>
      </c>
    </row>
    <row r="73" spans="2:14" x14ac:dyDescent="0.3">
      <c r="B73" s="10"/>
      <c r="C73" s="6" t="s">
        <v>264</v>
      </c>
      <c r="D73" s="7"/>
      <c r="E73" s="118">
        <v>537</v>
      </c>
      <c r="F73" s="10"/>
      <c r="G73" s="10"/>
      <c r="H73" s="12"/>
      <c r="I73" s="10"/>
      <c r="K73" s="104" t="s">
        <v>145</v>
      </c>
      <c r="L73" s="10" t="s">
        <v>147</v>
      </c>
      <c r="M73" s="10"/>
      <c r="N73">
        <f>36+31+21+39+13+24+15</f>
        <v>179</v>
      </c>
    </row>
    <row r="74" spans="2:14" x14ac:dyDescent="0.3">
      <c r="C74" s="42" t="s">
        <v>79</v>
      </c>
      <c r="D74" s="43"/>
      <c r="E74" s="118">
        <v>553</v>
      </c>
      <c r="I74" s="10"/>
      <c r="K74" s="10"/>
      <c r="L74" s="10"/>
      <c r="M74" s="10"/>
    </row>
    <row r="75" spans="2:14" x14ac:dyDescent="0.3">
      <c r="C75" s="44" t="s">
        <v>82</v>
      </c>
      <c r="D75" s="47"/>
      <c r="E75" s="118">
        <v>4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6" t="s">
        <v>117</v>
      </c>
      <c r="D77" s="49"/>
      <c r="E77" s="118"/>
      <c r="I77" s="10"/>
    </row>
    <row r="78" spans="2:14" x14ac:dyDescent="0.3">
      <c r="C78" s="51" t="s">
        <v>118</v>
      </c>
      <c r="D78" s="166"/>
      <c r="E78" s="118">
        <v>531</v>
      </c>
      <c r="I78" s="10"/>
    </row>
    <row r="79" spans="2:14" x14ac:dyDescent="0.3">
      <c r="C79" s="53" t="s">
        <v>108</v>
      </c>
      <c r="D79" s="56"/>
      <c r="E79" s="118">
        <v>1592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123" t="s">
        <v>77</v>
      </c>
      <c r="D81" s="105"/>
      <c r="E81" s="8">
        <v>2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2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2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10" t="s">
        <v>179</v>
      </c>
      <c r="D89" s="126">
        <v>108</v>
      </c>
      <c r="E89" s="126">
        <v>9</v>
      </c>
      <c r="F89" s="126">
        <v>262</v>
      </c>
      <c r="G89" s="167">
        <v>472</v>
      </c>
      <c r="H89" s="167">
        <v>128</v>
      </c>
      <c r="I89" s="167">
        <v>0</v>
      </c>
      <c r="J89" s="167">
        <v>0</v>
      </c>
      <c r="K89" s="167">
        <v>237</v>
      </c>
      <c r="L89" s="167">
        <v>38</v>
      </c>
      <c r="M89" s="168" t="s">
        <v>126</v>
      </c>
      <c r="N89" s="127">
        <f>SUM(D89:M89)</f>
        <v>1254</v>
      </c>
    </row>
    <row r="90" spans="2:14" x14ac:dyDescent="0.3">
      <c r="B90" s="9"/>
      <c r="C90" s="12" t="s">
        <v>13</v>
      </c>
      <c r="D90" s="126">
        <v>9</v>
      </c>
      <c r="E90" s="126">
        <v>0</v>
      </c>
      <c r="F90" s="126">
        <v>16</v>
      </c>
      <c r="G90" s="167">
        <v>77</v>
      </c>
      <c r="H90" s="167">
        <v>9</v>
      </c>
      <c r="I90" s="167">
        <v>0</v>
      </c>
      <c r="J90" s="167">
        <v>0</v>
      </c>
      <c r="K90" s="167">
        <v>40</v>
      </c>
      <c r="L90" s="167">
        <v>0</v>
      </c>
      <c r="M90" s="167">
        <v>19</v>
      </c>
      <c r="N90" s="127">
        <f t="shared" ref="N90:N91" si="6">SUM(D90:M90)</f>
        <v>170</v>
      </c>
    </row>
    <row r="91" spans="2:14" ht="15" thickBot="1" x14ac:dyDescent="0.35">
      <c r="B91" s="9"/>
      <c r="C91" s="12" t="s">
        <v>14</v>
      </c>
      <c r="D91" s="128">
        <v>0</v>
      </c>
      <c r="E91" s="128">
        <v>0</v>
      </c>
      <c r="F91" s="128">
        <v>26</v>
      </c>
      <c r="G91" s="128">
        <v>43</v>
      </c>
      <c r="H91" s="128">
        <v>27</v>
      </c>
      <c r="I91" s="128">
        <v>0</v>
      </c>
      <c r="J91" s="128">
        <v>0</v>
      </c>
      <c r="K91" s="128">
        <v>16</v>
      </c>
      <c r="L91" s="128">
        <v>6</v>
      </c>
      <c r="M91" s="169" t="s">
        <v>126</v>
      </c>
      <c r="N91" s="169">
        <f t="shared" si="6"/>
        <v>118</v>
      </c>
    </row>
    <row r="92" spans="2:14" ht="15" thickTop="1" x14ac:dyDescent="0.3">
      <c r="B92" s="13"/>
      <c r="C92" s="14" t="s">
        <v>12</v>
      </c>
      <c r="D92" s="143">
        <f>SUM(D89:D91)</f>
        <v>117</v>
      </c>
      <c r="E92" s="143">
        <f t="shared" ref="E92:N92" si="7">SUM(E89:E91)</f>
        <v>9</v>
      </c>
      <c r="F92" s="143">
        <f t="shared" si="7"/>
        <v>304</v>
      </c>
      <c r="G92" s="143">
        <f t="shared" si="7"/>
        <v>592</v>
      </c>
      <c r="H92" s="143">
        <f t="shared" si="7"/>
        <v>164</v>
      </c>
      <c r="I92" s="143">
        <f t="shared" si="7"/>
        <v>0</v>
      </c>
      <c r="J92" s="143">
        <f t="shared" si="7"/>
        <v>0</v>
      </c>
      <c r="K92" s="143">
        <f t="shared" si="7"/>
        <v>293</v>
      </c>
      <c r="L92" s="143">
        <f t="shared" si="7"/>
        <v>44</v>
      </c>
      <c r="M92" s="143">
        <f t="shared" si="7"/>
        <v>19</v>
      </c>
      <c r="N92" s="143">
        <f t="shared" si="7"/>
        <v>1542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6</v>
      </c>
      <c r="E95" s="126">
        <v>0</v>
      </c>
      <c r="F95" s="126">
        <v>23</v>
      </c>
      <c r="G95" s="150">
        <v>29</v>
      </c>
      <c r="H95" s="150">
        <v>17</v>
      </c>
      <c r="I95" s="150">
        <v>0</v>
      </c>
      <c r="J95" s="150">
        <v>0</v>
      </c>
      <c r="K95" s="150">
        <v>12</v>
      </c>
      <c r="L95" s="150">
        <v>1</v>
      </c>
      <c r="M95" s="150">
        <f>SUM(D95:L95)</f>
        <v>88</v>
      </c>
      <c r="N95" s="10"/>
    </row>
    <row r="96" spans="2:14" ht="15" thickBot="1" x14ac:dyDescent="0.35">
      <c r="B96" s="365" t="s">
        <v>177</v>
      </c>
      <c r="C96" s="380"/>
      <c r="D96" s="126">
        <v>0</v>
      </c>
      <c r="E96" s="126">
        <v>0</v>
      </c>
      <c r="F96" s="126">
        <v>0</v>
      </c>
      <c r="G96" s="126">
        <v>48</v>
      </c>
      <c r="H96" s="126">
        <v>0</v>
      </c>
      <c r="I96" s="126">
        <v>30</v>
      </c>
      <c r="J96" s="126">
        <v>0</v>
      </c>
      <c r="K96" s="126">
        <v>380</v>
      </c>
      <c r="L96" s="126">
        <v>0</v>
      </c>
      <c r="M96" s="174">
        <f>SUM(D96:L96)</f>
        <v>458</v>
      </c>
      <c r="N96" s="10"/>
    </row>
    <row r="97" spans="2:15" ht="15" thickTop="1" x14ac:dyDescent="0.3">
      <c r="B97" s="28"/>
      <c r="C97" s="190" t="s">
        <v>29</v>
      </c>
      <c r="D97" s="171">
        <f t="shared" ref="D97:L97" si="8">SUM(D95:D96)</f>
        <v>6</v>
      </c>
      <c r="E97" s="171">
        <f t="shared" si="8"/>
        <v>0</v>
      </c>
      <c r="F97" s="171">
        <f t="shared" si="8"/>
        <v>23</v>
      </c>
      <c r="G97" s="171">
        <f t="shared" si="8"/>
        <v>77</v>
      </c>
      <c r="H97" s="171">
        <f t="shared" si="8"/>
        <v>17</v>
      </c>
      <c r="I97" s="172">
        <f t="shared" si="8"/>
        <v>30</v>
      </c>
      <c r="J97" s="171">
        <f t="shared" si="8"/>
        <v>0</v>
      </c>
      <c r="K97" s="171">
        <f t="shared" si="8"/>
        <v>392</v>
      </c>
      <c r="L97" s="171">
        <f t="shared" si="8"/>
        <v>1</v>
      </c>
      <c r="M97" s="173">
        <f>SUM(M95:M96)</f>
        <v>546</v>
      </c>
      <c r="N97" s="10"/>
    </row>
    <row r="98" spans="2:15" x14ac:dyDescent="0.3"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2:15" x14ac:dyDescent="0.3">
      <c r="B99" s="374" t="s">
        <v>30</v>
      </c>
      <c r="C99" s="375"/>
      <c r="D99" s="143">
        <v>0</v>
      </c>
      <c r="E99" s="143">
        <v>0</v>
      </c>
      <c r="F99" s="143">
        <v>0</v>
      </c>
      <c r="G99" s="151">
        <v>1</v>
      </c>
      <c r="H99" s="151">
        <v>0</v>
      </c>
      <c r="I99" s="151">
        <v>0</v>
      </c>
      <c r="J99" s="151">
        <v>0</v>
      </c>
      <c r="K99" s="151">
        <v>33</v>
      </c>
      <c r="L99" s="151">
        <v>0</v>
      </c>
      <c r="M99" s="151">
        <f>SUM(D99:L99)</f>
        <v>34</v>
      </c>
      <c r="N99" s="10"/>
    </row>
    <row r="100" spans="2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2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2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2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2:15" x14ac:dyDescent="0.3">
      <c r="B104" s="374" t="s">
        <v>23</v>
      </c>
      <c r="C104" s="375"/>
      <c r="D104" s="262">
        <v>0</v>
      </c>
      <c r="E104" s="262">
        <v>6.5</v>
      </c>
      <c r="F104" s="262">
        <v>64</v>
      </c>
      <c r="G104" s="262">
        <v>31</v>
      </c>
      <c r="H104" s="262">
        <v>0.5</v>
      </c>
      <c r="I104" s="262">
        <v>0</v>
      </c>
      <c r="J104" s="262">
        <v>0</v>
      </c>
      <c r="K104" s="262">
        <v>11.25</v>
      </c>
      <c r="L104" s="262">
        <v>6</v>
      </c>
      <c r="M104" s="262">
        <v>0</v>
      </c>
      <c r="N104" s="133">
        <f>SUM(D104:M104)</f>
        <v>119.25</v>
      </c>
    </row>
    <row r="105" spans="2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2:15" x14ac:dyDescent="0.3">
      <c r="C106" s="6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5" x14ac:dyDescent="0.3">
      <c r="C107" s="51" t="s">
        <v>87</v>
      </c>
      <c r="D107" s="10"/>
      <c r="E107" s="30">
        <v>923</v>
      </c>
      <c r="K107" s="10"/>
      <c r="L107" s="10"/>
      <c r="M107" s="10"/>
      <c r="N107" s="10"/>
    </row>
    <row r="108" spans="2:15" x14ac:dyDescent="0.3">
      <c r="C108" s="51" t="s">
        <v>89</v>
      </c>
      <c r="D108" s="10"/>
      <c r="E108" s="30">
        <v>140</v>
      </c>
      <c r="K108" s="10"/>
      <c r="L108" s="10"/>
      <c r="M108" s="10"/>
      <c r="N108" s="10"/>
    </row>
    <row r="109" spans="2:15" x14ac:dyDescent="0.3">
      <c r="C109" s="51" t="s">
        <v>91</v>
      </c>
      <c r="D109" s="10"/>
      <c r="E109" s="30">
        <v>13</v>
      </c>
      <c r="K109" s="10"/>
      <c r="L109" s="10"/>
      <c r="M109" s="10"/>
      <c r="N109" s="10"/>
    </row>
    <row r="110" spans="2:15" x14ac:dyDescent="0.3">
      <c r="C110" s="51" t="s">
        <v>94</v>
      </c>
      <c r="D110" s="10"/>
      <c r="E110" s="30">
        <v>12</v>
      </c>
      <c r="K110" s="10"/>
      <c r="L110" s="10"/>
      <c r="M110" s="10"/>
      <c r="N110" s="10"/>
    </row>
    <row r="111" spans="2:15" x14ac:dyDescent="0.3">
      <c r="C111" s="52" t="s">
        <v>97</v>
      </c>
      <c r="D111" s="15"/>
      <c r="E111" s="16"/>
      <c r="K111" s="10"/>
      <c r="L111" s="10"/>
      <c r="M111" s="10"/>
      <c r="N111" s="10"/>
    </row>
    <row r="112" spans="2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60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58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2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590+83</f>
        <v>673</v>
      </c>
    </row>
    <row r="120" spans="2:14" x14ac:dyDescent="0.3">
      <c r="C120" s="9" t="s">
        <v>20</v>
      </c>
      <c r="D120" s="10"/>
      <c r="E120" s="137">
        <f>83+67</f>
        <v>150</v>
      </c>
    </row>
    <row r="121" spans="2:14" x14ac:dyDescent="0.3">
      <c r="C121" s="9" t="s">
        <v>19</v>
      </c>
      <c r="D121" s="10"/>
      <c r="E121" s="137">
        <f>21+7</f>
        <v>28</v>
      </c>
    </row>
    <row r="122" spans="2:14" x14ac:dyDescent="0.3">
      <c r="C122" s="9" t="s">
        <v>93</v>
      </c>
      <c r="D122" s="10"/>
      <c r="E122" s="137">
        <f>351+16</f>
        <v>367</v>
      </c>
    </row>
    <row r="123" spans="2:14" x14ac:dyDescent="0.3">
      <c r="C123" s="13" t="s">
        <v>96</v>
      </c>
      <c r="D123" s="15"/>
      <c r="E123" s="138">
        <v>0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v>2</v>
      </c>
    </row>
    <row r="127" spans="2:14" x14ac:dyDescent="0.3">
      <c r="C127" s="51" t="s">
        <v>88</v>
      </c>
      <c r="D127" s="10"/>
      <c r="E127" s="137"/>
    </row>
    <row r="128" spans="2:14" x14ac:dyDescent="0.3">
      <c r="C128" s="51" t="s">
        <v>90</v>
      </c>
      <c r="D128" s="10"/>
      <c r="E128" s="137">
        <f>51+7+2</f>
        <v>60</v>
      </c>
    </row>
    <row r="129" spans="3:15" x14ac:dyDescent="0.3">
      <c r="C129" s="51" t="s">
        <v>92</v>
      </c>
      <c r="D129" s="12"/>
      <c r="E129" s="137">
        <f>746+50+3</f>
        <v>799</v>
      </c>
    </row>
    <row r="130" spans="3:15" x14ac:dyDescent="0.3">
      <c r="C130" s="51" t="s">
        <v>95</v>
      </c>
      <c r="D130" s="12"/>
      <c r="E130" s="137">
        <f>60+1+3+21+3</f>
        <v>88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f>8+1+8</f>
        <v>17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v>24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51" t="s">
        <v>100</v>
      </c>
      <c r="D133" s="10"/>
      <c r="E133" s="137"/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/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/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/>
    </row>
    <row r="137" spans="3:15" x14ac:dyDescent="0.3">
      <c r="C137" s="50" t="s">
        <v>25</v>
      </c>
      <c r="D137" s="10"/>
      <c r="E137" s="139">
        <v>9</v>
      </c>
    </row>
    <row r="138" spans="3:15" x14ac:dyDescent="0.3">
      <c r="C138" s="50" t="s">
        <v>149</v>
      </c>
      <c r="D138" s="10"/>
      <c r="E138" s="139"/>
    </row>
    <row r="139" spans="3:15" x14ac:dyDescent="0.3">
      <c r="C139" s="52" t="s">
        <v>26</v>
      </c>
      <c r="D139" s="15"/>
      <c r="E139" s="138">
        <f>398+112+93</f>
        <v>603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191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4</v>
      </c>
      <c r="F144" s="126">
        <v>2</v>
      </c>
      <c r="G144" s="157">
        <f>SUM(E144:F144)</f>
        <v>6</v>
      </c>
    </row>
    <row r="145" spans="2:14" x14ac:dyDescent="0.3">
      <c r="C145" s="160" t="s">
        <v>13</v>
      </c>
      <c r="D145" s="163"/>
      <c r="E145" s="126">
        <v>0</v>
      </c>
      <c r="F145" s="126" t="s">
        <v>126</v>
      </c>
      <c r="G145" s="157">
        <f t="shared" ref="G145:G148" si="9">SUM(E145:F145)</f>
        <v>0</v>
      </c>
    </row>
    <row r="146" spans="2:14" x14ac:dyDescent="0.3">
      <c r="C146" s="160" t="s">
        <v>122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3">
      <c r="C147" s="158" t="s">
        <v>124</v>
      </c>
      <c r="D147" s="162"/>
      <c r="E147" s="127">
        <v>14</v>
      </c>
      <c r="F147" s="127">
        <v>0</v>
      </c>
      <c r="G147" s="157">
        <f t="shared" si="9"/>
        <v>14</v>
      </c>
      <c r="L147" s="10"/>
      <c r="M147" s="29"/>
    </row>
    <row r="148" spans="2:14" x14ac:dyDescent="0.3">
      <c r="C148" s="159" t="s">
        <v>13</v>
      </c>
      <c r="D148" s="158"/>
      <c r="E148" s="264">
        <v>0</v>
      </c>
      <c r="F148" s="127" t="s">
        <v>126</v>
      </c>
      <c r="G148" s="157">
        <f t="shared" si="9"/>
        <v>0</v>
      </c>
    </row>
    <row r="149" spans="2:14" x14ac:dyDescent="0.3">
      <c r="C149" s="154"/>
      <c r="D149" s="57"/>
      <c r="E149" s="265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55.8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115" t="s">
        <v>153</v>
      </c>
    </row>
    <row r="152" spans="2:14" ht="20.25" customHeight="1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4" customHeight="1" x14ac:dyDescent="0.3">
      <c r="B153" s="399"/>
      <c r="C153" s="400"/>
      <c r="D153" s="385"/>
      <c r="E153" s="386"/>
      <c r="F153" s="106"/>
    </row>
    <row r="154" spans="2:14" x14ac:dyDescent="0.3">
      <c r="B154" s="372" t="s">
        <v>169</v>
      </c>
      <c r="C154" s="373"/>
      <c r="D154" s="370">
        <v>182</v>
      </c>
      <c r="E154" s="371"/>
      <c r="F154" s="107"/>
    </row>
    <row r="155" spans="2:14" x14ac:dyDescent="0.3">
      <c r="B155" s="372" t="s">
        <v>183</v>
      </c>
      <c r="C155" s="373"/>
      <c r="D155" s="370">
        <v>1892</v>
      </c>
      <c r="E155" s="371"/>
      <c r="F155" s="107"/>
    </row>
    <row r="156" spans="2:14" x14ac:dyDescent="0.3">
      <c r="B156" s="372" t="s">
        <v>154</v>
      </c>
      <c r="C156" s="373"/>
      <c r="D156" s="370">
        <v>5268</v>
      </c>
      <c r="E156" s="371"/>
      <c r="F156" s="107"/>
    </row>
    <row r="157" spans="2:14" x14ac:dyDescent="0.3">
      <c r="B157" s="372" t="s">
        <v>155</v>
      </c>
      <c r="C157" s="373"/>
      <c r="D157" s="370">
        <v>156</v>
      </c>
      <c r="E157" s="371"/>
      <c r="F157" s="107"/>
    </row>
    <row r="158" spans="2:14" x14ac:dyDescent="0.3">
      <c r="B158" s="372" t="s">
        <v>156</v>
      </c>
      <c r="C158" s="373"/>
      <c r="D158" s="370">
        <v>5629</v>
      </c>
      <c r="E158" s="371"/>
      <c r="F158" s="107"/>
    </row>
    <row r="159" spans="2:14" x14ac:dyDescent="0.3">
      <c r="B159" s="372" t="s">
        <v>123</v>
      </c>
      <c r="C159" s="373"/>
      <c r="D159" s="370">
        <v>51</v>
      </c>
      <c r="E159" s="371"/>
      <c r="F159" s="107"/>
    </row>
    <row r="160" spans="2:14" x14ac:dyDescent="0.3">
      <c r="B160" s="372" t="s">
        <v>125</v>
      </c>
      <c r="C160" s="373"/>
      <c r="D160" s="370">
        <v>98</v>
      </c>
      <c r="E160" s="371"/>
      <c r="F160" s="107"/>
    </row>
    <row r="161" spans="2:15" x14ac:dyDescent="0.3">
      <c r="B161" s="372" t="s">
        <v>110</v>
      </c>
      <c r="C161" s="373"/>
      <c r="D161" s="370">
        <v>23</v>
      </c>
      <c r="E161" s="371"/>
      <c r="F161" s="107">
        <v>11</v>
      </c>
    </row>
    <row r="162" spans="2:15" x14ac:dyDescent="0.3">
      <c r="B162" s="372" t="s">
        <v>157</v>
      </c>
      <c r="C162" s="373"/>
      <c r="D162" s="370">
        <v>172</v>
      </c>
      <c r="E162" s="371"/>
      <c r="F162" s="107"/>
    </row>
    <row r="163" spans="2:15" x14ac:dyDescent="0.3">
      <c r="B163" s="372" t="s">
        <v>128</v>
      </c>
      <c r="C163" s="373"/>
      <c r="D163" s="370">
        <v>11</v>
      </c>
      <c r="E163" s="371"/>
      <c r="F163" s="107"/>
    </row>
    <row r="164" spans="2:15" ht="21.75" customHeight="1" x14ac:dyDescent="0.3">
      <c r="B164" s="395" t="s">
        <v>158</v>
      </c>
      <c r="C164" s="396"/>
      <c r="D164" s="353">
        <v>97</v>
      </c>
      <c r="E164" s="354"/>
      <c r="F164" s="108"/>
    </row>
    <row r="165" spans="2:15" ht="24.75" customHeight="1" x14ac:dyDescent="0.3">
      <c r="B165" s="395" t="s">
        <v>159</v>
      </c>
      <c r="C165" s="396"/>
      <c r="D165" s="353">
        <v>1405</v>
      </c>
      <c r="E165" s="354"/>
      <c r="F165" s="108"/>
    </row>
    <row r="166" spans="2:15" ht="22.5" customHeight="1" x14ac:dyDescent="0.3">
      <c r="B166" s="397" t="s">
        <v>160</v>
      </c>
      <c r="C166" s="398"/>
      <c r="D166" s="355">
        <v>351</v>
      </c>
      <c r="E166" s="356"/>
      <c r="F166" s="109"/>
    </row>
    <row r="167" spans="2:15" ht="19.5" customHeight="1" x14ac:dyDescent="0.3">
      <c r="B167" s="387" t="s">
        <v>161</v>
      </c>
      <c r="C167" s="388"/>
      <c r="D167" s="357">
        <v>250</v>
      </c>
      <c r="E167" s="358"/>
      <c r="F167" s="110"/>
    </row>
    <row r="168" spans="2:15" ht="22.5" customHeight="1" x14ac:dyDescent="0.3">
      <c r="B168" s="387" t="s">
        <v>162</v>
      </c>
      <c r="C168" s="388"/>
      <c r="D168" s="357">
        <v>257</v>
      </c>
      <c r="E168" s="358"/>
      <c r="F168" s="110"/>
    </row>
    <row r="169" spans="2:15" ht="27" customHeight="1" x14ac:dyDescent="0.3">
      <c r="B169" s="389" t="s">
        <v>163</v>
      </c>
      <c r="C169" s="390"/>
      <c r="D169" s="359">
        <v>944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91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90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266</v>
      </c>
    </row>
    <row r="174" spans="2:15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5" ht="15" thickTop="1" x14ac:dyDescent="0.3">
      <c r="B175" s="164" t="s">
        <v>166</v>
      </c>
      <c r="C175" s="165"/>
      <c r="D175" s="343">
        <f>SUM(D152:E174)</f>
        <v>16967</v>
      </c>
      <c r="E175" s="344"/>
      <c r="F175" s="184">
        <f>SUM(F152:F174)</f>
        <v>277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6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26">
        <v>23</v>
      </c>
      <c r="F178" s="337">
        <v>11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v>5629</v>
      </c>
      <c r="F181" s="126"/>
      <c r="I181" s="29"/>
      <c r="J181" s="29"/>
      <c r="K181" s="54"/>
      <c r="L181" s="54"/>
      <c r="M181" s="58"/>
    </row>
    <row r="182" spans="2:14" x14ac:dyDescent="0.3">
      <c r="C182" s="345" t="s">
        <v>114</v>
      </c>
      <c r="D182" s="346"/>
      <c r="E182" s="126">
        <v>5268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90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114</v>
      </c>
      <c r="E187" s="143">
        <v>76</v>
      </c>
      <c r="F187" s="143">
        <v>454</v>
      </c>
      <c r="G187" s="177">
        <f>228+15</f>
        <v>243</v>
      </c>
      <c r="H187" s="177">
        <v>220</v>
      </c>
      <c r="I187" s="177">
        <v>2</v>
      </c>
      <c r="J187" s="177">
        <v>41</v>
      </c>
      <c r="K187" s="177">
        <f>220+6</f>
        <v>226</v>
      </c>
      <c r="L187" s="177">
        <f>280+18</f>
        <v>298</v>
      </c>
      <c r="M187" s="177">
        <f>SUM(D187:L187)</f>
        <v>1674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129</v>
      </c>
      <c r="H188" s="126" t="s">
        <v>126</v>
      </c>
      <c r="I188" s="126" t="s">
        <v>126</v>
      </c>
      <c r="J188" s="126" t="s">
        <v>126</v>
      </c>
      <c r="K188" s="126">
        <v>162</v>
      </c>
      <c r="L188" s="126">
        <v>23</v>
      </c>
      <c r="M188" s="127">
        <f>SUM(D188:L188)</f>
        <v>314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0</v>
      </c>
      <c r="G189" s="128">
        <v>0</v>
      </c>
      <c r="H189" s="144">
        <v>0</v>
      </c>
      <c r="I189" s="144">
        <v>0</v>
      </c>
      <c r="J189" s="128" t="s">
        <v>126</v>
      </c>
      <c r="K189" s="128">
        <v>0</v>
      </c>
      <c r="L189" s="144">
        <v>23</v>
      </c>
      <c r="M189" s="144">
        <f>SUM(D189:L189)</f>
        <v>23</v>
      </c>
    </row>
    <row r="190" spans="2:14" ht="15" thickTop="1" x14ac:dyDescent="0.3">
      <c r="C190" s="38" t="s">
        <v>12</v>
      </c>
      <c r="D190" s="143">
        <f>SUM(D187:D189)</f>
        <v>114</v>
      </c>
      <c r="E190" s="143">
        <f>SUM(E187:E189)</f>
        <v>76</v>
      </c>
      <c r="F190" s="143">
        <f t="shared" ref="F190:L190" si="10">SUM(F187:F189)</f>
        <v>454</v>
      </c>
      <c r="G190" s="143">
        <f t="shared" si="10"/>
        <v>372</v>
      </c>
      <c r="H190" s="177">
        <f t="shared" si="10"/>
        <v>220</v>
      </c>
      <c r="I190" s="143">
        <f t="shared" si="10"/>
        <v>2</v>
      </c>
      <c r="J190" s="143">
        <f t="shared" si="10"/>
        <v>41</v>
      </c>
      <c r="K190" s="143">
        <f t="shared" si="10"/>
        <v>388</v>
      </c>
      <c r="L190" s="177">
        <f t="shared" si="10"/>
        <v>344</v>
      </c>
      <c r="M190" s="177">
        <f>SUM(M187:M189)</f>
        <v>2011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t="s">
        <v>238</v>
      </c>
      <c r="F196" s="22"/>
      <c r="G196" s="69"/>
      <c r="H196" s="70" t="s">
        <v>243</v>
      </c>
      <c r="I196" s="71"/>
      <c r="J196" s="72"/>
      <c r="K196" s="73"/>
      <c r="L196" s="74"/>
      <c r="M196" s="74"/>
      <c r="N196" s="75"/>
    </row>
    <row r="197" spans="2:14" x14ac:dyDescent="0.3">
      <c r="F197" s="22"/>
      <c r="G197" s="72"/>
      <c r="M197" s="76"/>
      <c r="N197" s="77"/>
    </row>
    <row r="198" spans="2:14" x14ac:dyDescent="0.3">
      <c r="B198" s="78" t="s">
        <v>136</v>
      </c>
      <c r="C198" s="22"/>
      <c r="D198" s="22"/>
      <c r="E198" s="22"/>
      <c r="F198" s="22"/>
      <c r="G198" s="69"/>
      <c r="M198" s="76"/>
      <c r="N198" s="77"/>
    </row>
    <row r="199" spans="2:14" x14ac:dyDescent="0.3">
      <c r="B199" t="s">
        <v>232</v>
      </c>
      <c r="H199" s="79"/>
      <c r="I199" s="10"/>
      <c r="J199" s="10"/>
      <c r="K199" s="10"/>
      <c r="L199" s="10"/>
      <c r="M199" s="10"/>
      <c r="N199" s="30"/>
    </row>
    <row r="200" spans="2:14" ht="17.399999999999999" x14ac:dyDescent="0.3">
      <c r="B200" t="s">
        <v>233</v>
      </c>
      <c r="H200" s="79" t="s">
        <v>95</v>
      </c>
      <c r="I200" s="72"/>
      <c r="J200" s="71"/>
      <c r="K200" s="83"/>
      <c r="L200" s="22"/>
      <c r="M200" s="22"/>
      <c r="N200" s="84"/>
    </row>
    <row r="201" spans="2:14" ht="17.399999999999999" x14ac:dyDescent="0.3">
      <c r="B201" t="s">
        <v>234</v>
      </c>
      <c r="H201" s="85" t="s">
        <v>230</v>
      </c>
      <c r="I201" s="71"/>
      <c r="J201" s="72"/>
      <c r="K201" s="72"/>
      <c r="L201" s="22"/>
      <c r="M201" s="22"/>
      <c r="N201" s="84"/>
    </row>
    <row r="202" spans="2:14" ht="17.399999999999999" x14ac:dyDescent="0.3">
      <c r="B202" t="s">
        <v>236</v>
      </c>
      <c r="H202" s="70" t="s">
        <v>231</v>
      </c>
      <c r="I202" s="71"/>
      <c r="J202" s="71"/>
      <c r="K202" s="71"/>
      <c r="L202" s="71"/>
      <c r="M202" s="22"/>
      <c r="N202" s="84"/>
    </row>
    <row r="203" spans="2:14" x14ac:dyDescent="0.3">
      <c r="B203" s="81" t="s">
        <v>244</v>
      </c>
      <c r="C203" s="22"/>
      <c r="D203" s="79"/>
      <c r="E203" s="22"/>
      <c r="F203" s="79"/>
      <c r="G203" s="86"/>
      <c r="H203" s="85"/>
      <c r="I203" s="10"/>
      <c r="J203" s="72"/>
      <c r="K203" s="72"/>
      <c r="L203" s="22"/>
      <c r="M203" s="22"/>
      <c r="N203" s="84"/>
    </row>
    <row r="204" spans="2:14" x14ac:dyDescent="0.3">
      <c r="B204" s="197" t="s">
        <v>242</v>
      </c>
      <c r="C204" s="22"/>
      <c r="D204" s="22"/>
      <c r="E204" s="22"/>
      <c r="F204" s="22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3">
      <c r="B205" s="197" t="s">
        <v>245</v>
      </c>
      <c r="C205" s="22"/>
      <c r="D205" s="22"/>
      <c r="E205" s="22"/>
      <c r="F205" s="22"/>
      <c r="G205" s="86"/>
      <c r="L205" s="22"/>
      <c r="M205" s="22"/>
      <c r="N205" s="84"/>
    </row>
    <row r="206" spans="2:14" x14ac:dyDescent="0.3">
      <c r="B206" s="9"/>
      <c r="C206" s="22"/>
      <c r="D206" s="22"/>
      <c r="E206" s="22"/>
      <c r="F206" s="22"/>
      <c r="G206" s="86"/>
      <c r="H206" s="79" t="s">
        <v>168</v>
      </c>
      <c r="L206" s="22"/>
      <c r="M206" s="22"/>
      <c r="N206" s="84"/>
    </row>
    <row r="207" spans="2:14" ht="17.399999999999999" x14ac:dyDescent="0.3">
      <c r="B207" s="78" t="s">
        <v>28</v>
      </c>
      <c r="C207" s="10"/>
      <c r="D207" s="10"/>
      <c r="E207" s="10"/>
      <c r="F207" s="10"/>
      <c r="G207" s="69"/>
      <c r="H207" s="85" t="s">
        <v>235</v>
      </c>
      <c r="I207" s="10"/>
      <c r="J207" s="71"/>
      <c r="K207" s="71"/>
      <c r="L207" s="22"/>
      <c r="M207" s="22"/>
      <c r="N207" s="84"/>
    </row>
    <row r="208" spans="2:14" x14ac:dyDescent="0.3">
      <c r="B208" s="80"/>
      <c r="C208" s="22"/>
      <c r="D208" s="22"/>
      <c r="E208" s="22"/>
      <c r="F208" s="22"/>
      <c r="G208" s="69"/>
      <c r="H208" t="s">
        <v>237</v>
      </c>
      <c r="I208" s="10"/>
      <c r="J208" s="72"/>
      <c r="K208" s="72"/>
      <c r="L208" s="76"/>
      <c r="M208" s="76"/>
      <c r="N208" s="77"/>
    </row>
    <row r="209" spans="2:14" x14ac:dyDescent="0.3">
      <c r="B209" s="80"/>
      <c r="C209" s="22"/>
      <c r="D209" s="22"/>
      <c r="E209" s="22"/>
      <c r="F209" s="22"/>
      <c r="G209" s="69"/>
      <c r="I209" s="10"/>
      <c r="J209" s="72"/>
      <c r="L209" s="76"/>
      <c r="M209" s="76"/>
      <c r="N209" s="77"/>
    </row>
    <row r="210" spans="2:14" x14ac:dyDescent="0.3">
      <c r="B210" s="87" t="s">
        <v>137</v>
      </c>
      <c r="C210" s="22"/>
      <c r="D210" s="22"/>
      <c r="E210" s="22"/>
      <c r="F210" s="22"/>
      <c r="G210" s="69"/>
      <c r="H210" s="88" t="s">
        <v>138</v>
      </c>
      <c r="I210" s="10"/>
      <c r="J210" s="72"/>
      <c r="K210" s="72"/>
      <c r="L210" s="76"/>
      <c r="M210" s="76"/>
      <c r="N210" s="77"/>
    </row>
    <row r="211" spans="2:14" ht="17.399999999999999" x14ac:dyDescent="0.3">
      <c r="B211" t="s">
        <v>239</v>
      </c>
      <c r="H211" s="200"/>
      <c r="I211" s="10"/>
      <c r="J211" s="71"/>
      <c r="K211" s="71"/>
      <c r="L211" s="76"/>
      <c r="M211" s="76"/>
      <c r="N211" s="77"/>
    </row>
    <row r="212" spans="2:14" x14ac:dyDescent="0.3">
      <c r="B212" t="s">
        <v>241</v>
      </c>
      <c r="H212" s="89"/>
      <c r="I212" s="10"/>
      <c r="J212" s="10"/>
      <c r="K212" s="10"/>
      <c r="L212" s="10"/>
      <c r="M212" s="10"/>
      <c r="N212" s="30"/>
    </row>
    <row r="213" spans="2:14" x14ac:dyDescent="0.3">
      <c r="B213" t="s">
        <v>240</v>
      </c>
      <c r="I213" s="10"/>
      <c r="J213" s="10"/>
      <c r="K213" s="10"/>
      <c r="L213" s="76"/>
      <c r="M213" s="76"/>
      <c r="N213" s="77"/>
    </row>
    <row r="214" spans="2:14" x14ac:dyDescent="0.3">
      <c r="B214" t="s">
        <v>241</v>
      </c>
      <c r="I214" s="10"/>
      <c r="J214" s="72"/>
      <c r="K214" s="72"/>
      <c r="L214" s="76"/>
      <c r="M214" s="76"/>
      <c r="N214" s="77"/>
    </row>
    <row r="215" spans="2:14" x14ac:dyDescent="0.3">
      <c r="I215" s="10"/>
      <c r="J215" s="22"/>
      <c r="K215" s="72"/>
      <c r="L215" s="10"/>
      <c r="M215" s="10"/>
      <c r="N215" s="30"/>
    </row>
    <row r="216" spans="2:14" ht="17.399999999999999" x14ac:dyDescent="0.3">
      <c r="I216" s="10"/>
      <c r="J216" s="71"/>
      <c r="K216" s="71"/>
      <c r="L216" s="22"/>
      <c r="M216" s="22"/>
      <c r="N216" s="84"/>
    </row>
    <row r="217" spans="2:14" ht="17.399999999999999" x14ac:dyDescent="0.3">
      <c r="B217" s="81"/>
      <c r="C217" s="22"/>
      <c r="D217" s="22"/>
      <c r="E217" s="22"/>
      <c r="F217" s="82"/>
      <c r="G217" s="72"/>
      <c r="H217" s="85"/>
      <c r="I217" s="73"/>
      <c r="J217" s="72"/>
      <c r="K217" s="73"/>
      <c r="L217" s="74"/>
      <c r="M217" s="74"/>
      <c r="N217" s="84"/>
    </row>
    <row r="218" spans="2:14" ht="17.399999999999999" x14ac:dyDescent="0.3">
      <c r="B218" s="13"/>
      <c r="C218" s="91"/>
      <c r="D218" s="91"/>
      <c r="E218" s="91"/>
      <c r="F218" s="92"/>
      <c r="G218" s="93"/>
      <c r="H218" s="94"/>
      <c r="I218" s="95"/>
      <c r="J218" s="93"/>
      <c r="K218" s="95"/>
      <c r="L218" s="96"/>
      <c r="M218" s="96"/>
      <c r="N218" s="97"/>
    </row>
    <row r="219" spans="2:14" x14ac:dyDescent="0.3">
      <c r="C219" s="69"/>
      <c r="D219" s="72"/>
      <c r="E219" s="72"/>
      <c r="F219" s="72"/>
      <c r="G219" s="72"/>
      <c r="H219" s="76"/>
      <c r="I219" s="76"/>
      <c r="J219" s="76"/>
      <c r="K219" s="76"/>
      <c r="L219" s="74"/>
      <c r="M219" s="74"/>
      <c r="N219" s="22"/>
    </row>
  </sheetData>
  <mergeCells count="72">
    <mergeCell ref="F178:G178"/>
    <mergeCell ref="C181:D181"/>
    <mergeCell ref="C182:D182"/>
    <mergeCell ref="C183:D183"/>
    <mergeCell ref="B192:C192"/>
    <mergeCell ref="B168:C168"/>
    <mergeCell ref="D168:E168"/>
    <mergeCell ref="B169:C169"/>
    <mergeCell ref="D169:E169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65:C165"/>
    <mergeCell ref="D165:E165"/>
    <mergeCell ref="B166:C166"/>
    <mergeCell ref="D166:E166"/>
    <mergeCell ref="B167:C167"/>
    <mergeCell ref="D167:E167"/>
    <mergeCell ref="B162:C162"/>
    <mergeCell ref="D162:E162"/>
    <mergeCell ref="B163:C163"/>
    <mergeCell ref="D163:E163"/>
    <mergeCell ref="B164:C164"/>
    <mergeCell ref="D164:E164"/>
    <mergeCell ref="B159:C159"/>
    <mergeCell ref="D159:E159"/>
    <mergeCell ref="B160:C160"/>
    <mergeCell ref="D160:E160"/>
    <mergeCell ref="B161:C161"/>
    <mergeCell ref="D161:E161"/>
    <mergeCell ref="B156:C156"/>
    <mergeCell ref="D156:E156"/>
    <mergeCell ref="B157:C157"/>
    <mergeCell ref="D157:E157"/>
    <mergeCell ref="B158:C158"/>
    <mergeCell ref="D158:E158"/>
    <mergeCell ref="B153:C153"/>
    <mergeCell ref="D153:E153"/>
    <mergeCell ref="B154:C154"/>
    <mergeCell ref="D154:E154"/>
    <mergeCell ref="B155:C155"/>
    <mergeCell ref="D155:E155"/>
    <mergeCell ref="M101:M103"/>
    <mergeCell ref="B104:C104"/>
    <mergeCell ref="B151:C151"/>
    <mergeCell ref="D151:E151"/>
    <mergeCell ref="B152:C152"/>
    <mergeCell ref="D152:E152"/>
    <mergeCell ref="G152:I152"/>
    <mergeCell ref="K67:M67"/>
    <mergeCell ref="B87:C87"/>
    <mergeCell ref="B88:C88"/>
    <mergeCell ref="B96:C96"/>
    <mergeCell ref="B99:C99"/>
    <mergeCell ref="B95:C95"/>
    <mergeCell ref="B67:C67"/>
    <mergeCell ref="D67:E67"/>
    <mergeCell ref="H67:J67"/>
    <mergeCell ref="B23:C23"/>
    <mergeCell ref="B24:C24"/>
    <mergeCell ref="B63:C63"/>
    <mergeCell ref="B64:C64"/>
    <mergeCell ref="B66:C66"/>
  </mergeCells>
  <pageMargins left="0.7" right="0.7" top="0.75" bottom="0.75" header="0.3" footer="0.3"/>
  <pageSetup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74" workbookViewId="0">
      <selection activeCell="E60" sqref="E60"/>
    </sheetView>
  </sheetViews>
  <sheetFormatPr defaultRowHeight="14.4" x14ac:dyDescent="0.3"/>
  <cols>
    <col min="3" max="3" width="13.88671875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 t="s">
        <v>190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37" t="s">
        <v>17</v>
      </c>
      <c r="D6" s="126">
        <v>69</v>
      </c>
      <c r="E6" s="126">
        <v>0</v>
      </c>
      <c r="F6" s="126">
        <v>140</v>
      </c>
      <c r="G6" s="127">
        <v>253</v>
      </c>
      <c r="H6" s="127">
        <v>71</v>
      </c>
      <c r="I6" s="127">
        <v>1</v>
      </c>
      <c r="J6" s="127">
        <v>4</v>
      </c>
      <c r="K6" s="127">
        <v>79</v>
      </c>
      <c r="L6" s="127">
        <v>57</v>
      </c>
      <c r="M6" s="127">
        <f>SUM(D6:L6)</f>
        <v>674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11</v>
      </c>
      <c r="H8" s="127">
        <v>18</v>
      </c>
      <c r="I8" s="127">
        <v>1</v>
      </c>
      <c r="J8" s="126">
        <v>0</v>
      </c>
      <c r="K8" s="126">
        <v>23</v>
      </c>
      <c r="L8" s="127">
        <v>0</v>
      </c>
      <c r="M8" s="127">
        <f>SUM(D8:L8)</f>
        <v>73</v>
      </c>
    </row>
    <row r="9" spans="2:15" x14ac:dyDescent="0.3">
      <c r="C9" s="38" t="s">
        <v>20</v>
      </c>
      <c r="D9" s="126">
        <v>5</v>
      </c>
      <c r="E9" s="126">
        <v>4</v>
      </c>
      <c r="F9" s="126">
        <v>19</v>
      </c>
      <c r="G9" s="126">
        <v>50</v>
      </c>
      <c r="H9" s="127">
        <v>21</v>
      </c>
      <c r="I9" s="126">
        <v>1</v>
      </c>
      <c r="J9" s="126">
        <v>2</v>
      </c>
      <c r="K9" s="126">
        <v>24</v>
      </c>
      <c r="L9" s="127">
        <v>4</v>
      </c>
      <c r="M9" s="127">
        <f>SUM(D9:L9)</f>
        <v>130</v>
      </c>
    </row>
    <row r="10" spans="2:15" x14ac:dyDescent="0.3">
      <c r="C10" s="38" t="s">
        <v>21</v>
      </c>
      <c r="D10" s="127">
        <v>114</v>
      </c>
      <c r="E10" s="126">
        <v>50</v>
      </c>
      <c r="F10" s="126">
        <v>236</v>
      </c>
      <c r="G10" s="126">
        <v>259</v>
      </c>
      <c r="H10" s="127">
        <v>140</v>
      </c>
      <c r="I10" s="126">
        <v>13</v>
      </c>
      <c r="J10" s="126">
        <v>9</v>
      </c>
      <c r="K10" s="126">
        <v>445</v>
      </c>
      <c r="L10" s="127">
        <v>123</v>
      </c>
      <c r="M10" s="127">
        <f>SUM(D10:L10)</f>
        <v>1389</v>
      </c>
    </row>
    <row r="11" spans="2:15" x14ac:dyDescent="0.3">
      <c r="C11" s="38" t="s">
        <v>12</v>
      </c>
      <c r="D11" s="127">
        <f t="shared" ref="D11:M11" si="0">SUM(D6:D10)</f>
        <v>190</v>
      </c>
      <c r="E11" s="126">
        <f t="shared" si="0"/>
        <v>56</v>
      </c>
      <c r="F11" s="127">
        <f t="shared" si="0"/>
        <v>413</v>
      </c>
      <c r="G11" s="127">
        <f t="shared" si="0"/>
        <v>573</v>
      </c>
      <c r="H11" s="127">
        <f t="shared" si="0"/>
        <v>251</v>
      </c>
      <c r="I11" s="126">
        <f t="shared" si="0"/>
        <v>16</v>
      </c>
      <c r="J11" s="126">
        <f t="shared" si="0"/>
        <v>15</v>
      </c>
      <c r="K11" s="126">
        <f t="shared" si="0"/>
        <v>571</v>
      </c>
      <c r="L11" s="126">
        <f t="shared" si="0"/>
        <v>186</v>
      </c>
      <c r="M11" s="127">
        <f t="shared" si="0"/>
        <v>2271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37" t="s">
        <v>24</v>
      </c>
      <c r="D16" s="126">
        <v>86</v>
      </c>
      <c r="E16" s="126">
        <v>1</v>
      </c>
      <c r="F16" s="126">
        <v>53</v>
      </c>
      <c r="G16" s="127">
        <v>203</v>
      </c>
      <c r="H16" s="127">
        <v>137</v>
      </c>
      <c r="I16" s="127">
        <v>57</v>
      </c>
      <c r="J16" s="127">
        <v>14</v>
      </c>
      <c r="K16" s="127">
        <v>134</v>
      </c>
      <c r="L16" s="127">
        <v>40</v>
      </c>
      <c r="M16" s="127">
        <f t="shared" ref="M16:M21" si="1">SUM(D16:L16)</f>
        <v>725</v>
      </c>
    </row>
    <row r="17" spans="2:13" x14ac:dyDescent="0.3">
      <c r="C17" s="38" t="s">
        <v>25</v>
      </c>
      <c r="D17" s="126">
        <v>11</v>
      </c>
      <c r="E17" s="126">
        <v>1</v>
      </c>
      <c r="F17" s="127">
        <v>11</v>
      </c>
      <c r="G17" s="126">
        <v>55</v>
      </c>
      <c r="H17" s="126">
        <v>71</v>
      </c>
      <c r="I17" s="126">
        <v>0</v>
      </c>
      <c r="J17" s="126">
        <v>5</v>
      </c>
      <c r="K17" s="126">
        <v>36</v>
      </c>
      <c r="L17" s="126">
        <v>18</v>
      </c>
      <c r="M17" s="127">
        <f t="shared" si="1"/>
        <v>208</v>
      </c>
    </row>
    <row r="18" spans="2:13" x14ac:dyDescent="0.3">
      <c r="C18" s="38" t="s">
        <v>26</v>
      </c>
      <c r="D18" s="126">
        <v>201</v>
      </c>
      <c r="E18" s="126">
        <v>327</v>
      </c>
      <c r="F18" s="126">
        <v>357</v>
      </c>
      <c r="G18" s="126">
        <v>257</v>
      </c>
      <c r="H18" s="127">
        <v>274</v>
      </c>
      <c r="I18" s="127">
        <v>4</v>
      </c>
      <c r="J18" s="126">
        <v>54</v>
      </c>
      <c r="K18" s="126">
        <v>393</v>
      </c>
      <c r="L18" s="127">
        <v>159</v>
      </c>
      <c r="M18" s="127">
        <f t="shared" si="1"/>
        <v>2026</v>
      </c>
    </row>
    <row r="19" spans="2:13" x14ac:dyDescent="0.3">
      <c r="C19" s="38" t="s">
        <v>27</v>
      </c>
      <c r="D19" s="126">
        <v>80</v>
      </c>
      <c r="E19" s="126">
        <f>29+24</f>
        <v>53</v>
      </c>
      <c r="F19" s="126">
        <v>58</v>
      </c>
      <c r="G19" s="126">
        <v>67</v>
      </c>
      <c r="H19" s="127">
        <v>60</v>
      </c>
      <c r="I19" s="126">
        <v>63</v>
      </c>
      <c r="J19" s="126">
        <v>17</v>
      </c>
      <c r="K19" s="126">
        <v>69</v>
      </c>
      <c r="L19" s="127">
        <v>73</v>
      </c>
      <c r="M19" s="127">
        <f t="shared" si="1"/>
        <v>540</v>
      </c>
    </row>
    <row r="20" spans="2:13" x14ac:dyDescent="0.3">
      <c r="C20" s="38" t="s">
        <v>28</v>
      </c>
      <c r="D20" s="126">
        <f t="shared" ref="D20:E20" si="2">(D59)</f>
        <v>32</v>
      </c>
      <c r="E20" s="126">
        <f t="shared" si="2"/>
        <v>22</v>
      </c>
      <c r="F20" s="126">
        <f>(F59)</f>
        <v>86</v>
      </c>
      <c r="G20" s="126">
        <f>(G59)</f>
        <v>70</v>
      </c>
      <c r="H20" s="126">
        <f t="shared" ref="H20:L20" si="3">(H59)</f>
        <v>52</v>
      </c>
      <c r="I20" s="126">
        <f t="shared" si="3"/>
        <v>26</v>
      </c>
      <c r="J20" s="126">
        <f t="shared" si="3"/>
        <v>11</v>
      </c>
      <c r="K20" s="126">
        <f t="shared" si="3"/>
        <v>132</v>
      </c>
      <c r="L20" s="126">
        <f t="shared" si="3"/>
        <v>48</v>
      </c>
      <c r="M20" s="127">
        <f t="shared" si="1"/>
        <v>479</v>
      </c>
    </row>
    <row r="21" spans="2:13" x14ac:dyDescent="0.3">
      <c r="C21" s="38" t="s">
        <v>12</v>
      </c>
      <c r="D21" s="127">
        <f t="shared" ref="D21:L21" si="4">SUM(D16:D20)</f>
        <v>410</v>
      </c>
      <c r="E21" s="126">
        <f t="shared" si="4"/>
        <v>404</v>
      </c>
      <c r="F21" s="127">
        <f t="shared" si="4"/>
        <v>565</v>
      </c>
      <c r="G21" s="127">
        <f t="shared" si="4"/>
        <v>652</v>
      </c>
      <c r="H21" s="127">
        <f t="shared" si="4"/>
        <v>594</v>
      </c>
      <c r="I21" s="126">
        <f t="shared" si="4"/>
        <v>150</v>
      </c>
      <c r="J21" s="126">
        <f t="shared" si="4"/>
        <v>101</v>
      </c>
      <c r="K21" s="126">
        <f t="shared" si="4"/>
        <v>764</v>
      </c>
      <c r="L21" s="126">
        <f t="shared" si="4"/>
        <v>338</v>
      </c>
      <c r="M21" s="127">
        <f t="shared" si="1"/>
        <v>3978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0</v>
      </c>
      <c r="G23" s="126">
        <v>1</v>
      </c>
      <c r="H23" s="126">
        <v>0</v>
      </c>
      <c r="I23" s="126">
        <v>0</v>
      </c>
      <c r="J23" s="126">
        <v>0</v>
      </c>
      <c r="K23" s="126">
        <v>3</v>
      </c>
      <c r="L23" s="126">
        <v>0</v>
      </c>
      <c r="M23" s="126">
        <f>SUM(D23:L23)</f>
        <v>4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0</v>
      </c>
      <c r="G24" s="126">
        <v>17</v>
      </c>
      <c r="H24" s="126">
        <v>0</v>
      </c>
      <c r="I24" s="126">
        <v>0</v>
      </c>
      <c r="J24" s="126">
        <v>0</v>
      </c>
      <c r="K24" s="126">
        <v>46</v>
      </c>
      <c r="L24" s="126">
        <v>0</v>
      </c>
      <c r="M24" s="134">
        <f>SUM(D24:L24)</f>
        <v>63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59">
        <v>1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59">
        <v>6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>
        <v>6</v>
      </c>
      <c r="E31" s="126">
        <v>3</v>
      </c>
      <c r="F31" s="126">
        <v>10</v>
      </c>
      <c r="G31" s="127">
        <v>14</v>
      </c>
      <c r="H31" s="127">
        <v>4</v>
      </c>
      <c r="I31" s="127"/>
      <c r="J31" s="127"/>
      <c r="K31" s="127">
        <v>7</v>
      </c>
      <c r="L31" s="127">
        <v>7</v>
      </c>
      <c r="M31" s="127">
        <f t="shared" ref="M31:M58" si="5">SUM(D31:L31)</f>
        <v>51</v>
      </c>
    </row>
    <row r="32" spans="2:13" x14ac:dyDescent="0.3">
      <c r="C32" s="38" t="s">
        <v>34</v>
      </c>
      <c r="D32" s="126"/>
      <c r="E32" s="126"/>
      <c r="F32" s="127">
        <v>2</v>
      </c>
      <c r="G32" s="126">
        <v>2</v>
      </c>
      <c r="H32" s="126">
        <v>4</v>
      </c>
      <c r="I32" s="126"/>
      <c r="J32" s="126"/>
      <c r="K32" s="126">
        <v>9</v>
      </c>
      <c r="L32" s="126">
        <v>1</v>
      </c>
      <c r="M32" s="127">
        <f t="shared" si="5"/>
        <v>18</v>
      </c>
    </row>
    <row r="33" spans="3:13" x14ac:dyDescent="0.3">
      <c r="C33" s="38" t="s">
        <v>35</v>
      </c>
      <c r="D33" s="126">
        <v>4</v>
      </c>
      <c r="E33" s="126">
        <v>7</v>
      </c>
      <c r="F33" s="126">
        <v>5</v>
      </c>
      <c r="G33" s="126">
        <v>13</v>
      </c>
      <c r="H33" s="127">
        <v>9</v>
      </c>
      <c r="I33" s="127">
        <v>11</v>
      </c>
      <c r="J33" s="126">
        <v>2</v>
      </c>
      <c r="K33" s="126">
        <v>23</v>
      </c>
      <c r="L33" s="127">
        <v>6</v>
      </c>
      <c r="M33" s="127">
        <f t="shared" si="5"/>
        <v>80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5"/>
        <v>0</v>
      </c>
    </row>
    <row r="35" spans="3:13" x14ac:dyDescent="0.3">
      <c r="C35" s="38" t="s">
        <v>37</v>
      </c>
      <c r="D35" s="127">
        <v>4</v>
      </c>
      <c r="E35" s="126">
        <v>7</v>
      </c>
      <c r="F35" s="126">
        <v>6</v>
      </c>
      <c r="G35" s="126">
        <v>8</v>
      </c>
      <c r="H35" s="127">
        <v>1</v>
      </c>
      <c r="I35" s="126">
        <v>2</v>
      </c>
      <c r="J35" s="126"/>
      <c r="K35" s="126">
        <v>4</v>
      </c>
      <c r="L35" s="127">
        <v>2</v>
      </c>
      <c r="M35" s="127">
        <f t="shared" si="5"/>
        <v>34</v>
      </c>
    </row>
    <row r="36" spans="3:13" x14ac:dyDescent="0.3">
      <c r="C36" s="38" t="s">
        <v>38</v>
      </c>
      <c r="D36" s="127"/>
      <c r="E36" s="126"/>
      <c r="F36" s="127"/>
      <c r="G36" s="127">
        <v>2</v>
      </c>
      <c r="H36" s="127"/>
      <c r="I36" s="126"/>
      <c r="J36" s="126"/>
      <c r="K36" s="126">
        <v>1</v>
      </c>
      <c r="L36" s="126"/>
      <c r="M36" s="127">
        <f t="shared" si="5"/>
        <v>3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>
        <v>1</v>
      </c>
      <c r="I39" s="127"/>
      <c r="J39" s="126"/>
      <c r="K39" s="126"/>
      <c r="L39" s="127"/>
      <c r="M39" s="127">
        <f t="shared" si="5"/>
        <v>1</v>
      </c>
    </row>
    <row r="40" spans="3:13" x14ac:dyDescent="0.3">
      <c r="C40" s="38" t="s">
        <v>42</v>
      </c>
      <c r="D40" s="126">
        <v>2</v>
      </c>
      <c r="E40" s="126"/>
      <c r="F40" s="127">
        <v>1</v>
      </c>
      <c r="G40" s="127">
        <v>8</v>
      </c>
      <c r="H40" s="127"/>
      <c r="I40" s="127"/>
      <c r="J40" s="126"/>
      <c r="K40" s="126">
        <v>6</v>
      </c>
      <c r="L40" s="127"/>
      <c r="M40" s="127">
        <f t="shared" si="5"/>
        <v>17</v>
      </c>
    </row>
    <row r="41" spans="3:13" x14ac:dyDescent="0.3">
      <c r="C41" s="38" t="s">
        <v>43</v>
      </c>
      <c r="D41" s="126">
        <v>1</v>
      </c>
      <c r="E41" s="126"/>
      <c r="F41" s="127">
        <v>9</v>
      </c>
      <c r="G41" s="127"/>
      <c r="H41" s="127">
        <v>4</v>
      </c>
      <c r="I41" s="127"/>
      <c r="J41" s="126"/>
      <c r="K41" s="126">
        <v>14</v>
      </c>
      <c r="L41" s="127">
        <v>8</v>
      </c>
      <c r="M41" s="127">
        <f t="shared" si="5"/>
        <v>36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>
        <v>1</v>
      </c>
      <c r="L42" s="127"/>
      <c r="M42" s="127">
        <f t="shared" si="5"/>
        <v>1</v>
      </c>
    </row>
    <row r="43" spans="3:13" x14ac:dyDescent="0.3">
      <c r="C43" s="37" t="s">
        <v>45</v>
      </c>
      <c r="D43" s="126">
        <v>2</v>
      </c>
      <c r="E43" s="126">
        <v>2</v>
      </c>
      <c r="F43" s="127">
        <v>5</v>
      </c>
      <c r="G43" s="127"/>
      <c r="H43" s="127">
        <v>4</v>
      </c>
      <c r="I43" s="127">
        <v>5</v>
      </c>
      <c r="J43" s="127">
        <v>5</v>
      </c>
      <c r="K43" s="127">
        <v>5</v>
      </c>
      <c r="L43" s="127"/>
      <c r="M43" s="127">
        <f t="shared" si="5"/>
        <v>28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5"/>
        <v>0</v>
      </c>
    </row>
    <row r="48" spans="3:13" x14ac:dyDescent="0.3">
      <c r="C48" s="37" t="s">
        <v>50</v>
      </c>
      <c r="D48" s="127"/>
      <c r="E48" s="127"/>
      <c r="F48" s="127"/>
      <c r="G48" s="127">
        <v>2</v>
      </c>
      <c r="H48" s="127"/>
      <c r="I48" s="127">
        <v>2</v>
      </c>
      <c r="J48" s="127"/>
      <c r="K48" s="127"/>
      <c r="L48" s="127"/>
      <c r="M48" s="127">
        <f t="shared" si="5"/>
        <v>4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5"/>
        <v>0</v>
      </c>
    </row>
    <row r="51" spans="2:14" x14ac:dyDescent="0.3">
      <c r="C51" s="38" t="s">
        <v>53</v>
      </c>
      <c r="D51" s="127">
        <v>2</v>
      </c>
      <c r="E51" s="126">
        <v>2</v>
      </c>
      <c r="F51" s="127">
        <v>3</v>
      </c>
      <c r="G51" s="127"/>
      <c r="H51" s="127"/>
      <c r="I51" s="127"/>
      <c r="J51" s="127"/>
      <c r="K51" s="127">
        <v>10</v>
      </c>
      <c r="L51" s="127"/>
      <c r="M51" s="127">
        <f t="shared" si="5"/>
        <v>17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5"/>
        <v>0</v>
      </c>
    </row>
    <row r="53" spans="2:14" x14ac:dyDescent="0.3">
      <c r="C53" s="38" t="s">
        <v>167</v>
      </c>
      <c r="D53" s="127"/>
      <c r="E53" s="126"/>
      <c r="F53" s="127">
        <v>1</v>
      </c>
      <c r="G53" s="127">
        <v>2</v>
      </c>
      <c r="H53" s="127">
        <v>3</v>
      </c>
      <c r="I53" s="127"/>
      <c r="J53" s="127"/>
      <c r="K53" s="127">
        <v>3</v>
      </c>
      <c r="L53" s="127">
        <v>2</v>
      </c>
      <c r="M53" s="127">
        <f t="shared" si="5"/>
        <v>11</v>
      </c>
    </row>
    <row r="54" spans="2:14" x14ac:dyDescent="0.3">
      <c r="C54" s="38" t="s">
        <v>55</v>
      </c>
      <c r="D54" s="127">
        <v>7</v>
      </c>
      <c r="E54" s="126">
        <v>1</v>
      </c>
      <c r="F54" s="127">
        <v>36</v>
      </c>
      <c r="G54" s="127">
        <v>14</v>
      </c>
      <c r="H54" s="127">
        <v>19</v>
      </c>
      <c r="I54" s="127">
        <v>5</v>
      </c>
      <c r="J54" s="127">
        <v>4</v>
      </c>
      <c r="K54" s="127">
        <v>38</v>
      </c>
      <c r="L54" s="127">
        <v>19</v>
      </c>
      <c r="M54" s="127">
        <f t="shared" si="5"/>
        <v>143</v>
      </c>
    </row>
    <row r="55" spans="2:14" x14ac:dyDescent="0.3">
      <c r="C55" s="38" t="s">
        <v>56</v>
      </c>
      <c r="D55" s="126">
        <v>2</v>
      </c>
      <c r="E55" s="126"/>
      <c r="F55" s="126">
        <v>5</v>
      </c>
      <c r="G55" s="127">
        <v>3</v>
      </c>
      <c r="H55" s="126">
        <v>2</v>
      </c>
      <c r="I55" s="127">
        <v>1</v>
      </c>
      <c r="J55" s="127"/>
      <c r="K55" s="127">
        <v>3</v>
      </c>
      <c r="L55" s="127">
        <v>3</v>
      </c>
      <c r="M55" s="127">
        <f t="shared" si="5"/>
        <v>19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5"/>
        <v>0</v>
      </c>
    </row>
    <row r="57" spans="2:14" x14ac:dyDescent="0.3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5"/>
        <v>0</v>
      </c>
    </row>
    <row r="58" spans="2:14" ht="15" thickBot="1" x14ac:dyDescent="0.35">
      <c r="C58" s="118" t="s">
        <v>59</v>
      </c>
      <c r="D58" s="145">
        <v>2</v>
      </c>
      <c r="E58" s="128"/>
      <c r="F58" s="128">
        <v>3</v>
      </c>
      <c r="G58" s="128">
        <v>2</v>
      </c>
      <c r="H58" s="128">
        <v>1</v>
      </c>
      <c r="I58" s="128"/>
      <c r="J58" s="128"/>
      <c r="K58" s="128">
        <v>8</v>
      </c>
      <c r="L58" s="128"/>
      <c r="M58" s="144">
        <f t="shared" si="5"/>
        <v>16</v>
      </c>
    </row>
    <row r="59" spans="2:14" ht="15" thickTop="1" x14ac:dyDescent="0.3">
      <c r="C59" s="36" t="s">
        <v>29</v>
      </c>
      <c r="D59" s="143">
        <f t="shared" ref="D59:M59" si="6">SUM(D31:D58)</f>
        <v>32</v>
      </c>
      <c r="E59" s="143">
        <f>SUM(E31:E58)</f>
        <v>22</v>
      </c>
      <c r="F59" s="143">
        <f t="shared" si="6"/>
        <v>86</v>
      </c>
      <c r="G59" s="143">
        <f t="shared" si="6"/>
        <v>70</v>
      </c>
      <c r="H59" s="143">
        <f t="shared" si="6"/>
        <v>52</v>
      </c>
      <c r="I59" s="143">
        <f t="shared" si="6"/>
        <v>26</v>
      </c>
      <c r="J59" s="143">
        <f t="shared" si="6"/>
        <v>11</v>
      </c>
      <c r="K59" s="143">
        <f t="shared" si="6"/>
        <v>132</v>
      </c>
      <c r="L59" s="143">
        <f t="shared" si="6"/>
        <v>48</v>
      </c>
      <c r="M59" s="143">
        <f t="shared" si="6"/>
        <v>479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3351</v>
      </c>
      <c r="E64" s="125">
        <v>75</v>
      </c>
      <c r="F64" s="125">
        <v>12949</v>
      </c>
      <c r="G64" s="125">
        <v>11817</v>
      </c>
      <c r="H64" s="125">
        <v>9074</v>
      </c>
      <c r="I64" s="125">
        <v>101</v>
      </c>
      <c r="J64" s="125">
        <v>58</v>
      </c>
      <c r="K64" s="125">
        <v>11519</v>
      </c>
      <c r="L64" s="125">
        <v>1832</v>
      </c>
      <c r="M64" s="21">
        <f>SUM(D64:L64)</f>
        <v>50776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16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144</v>
      </c>
      <c r="N68" s="16"/>
    </row>
    <row r="69" spans="2:14" x14ac:dyDescent="0.3">
      <c r="B69" s="28" t="s">
        <v>73</v>
      </c>
      <c r="C69" s="12" t="s">
        <v>74</v>
      </c>
      <c r="D69" s="10"/>
      <c r="E69" s="10"/>
      <c r="H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136">
        <v>44781</v>
      </c>
      <c r="D70" s="129">
        <f>64+39+25+22</f>
        <v>150</v>
      </c>
      <c r="E70" s="129">
        <v>993</v>
      </c>
      <c r="F70" s="10">
        <f>40+13+8+77+5+30+67+1</f>
        <v>241</v>
      </c>
      <c r="G70" s="10">
        <f>48+3+18+4+1+5+4+5+2+32+16+11+4+64+3+4+2+9+3+11+2+6+19+14+4+8+1+15+1+20+7+1+6+3+11+6+8+3+24+5+1+1+2+3</f>
        <v>420</v>
      </c>
      <c r="H70" s="129">
        <v>52</v>
      </c>
      <c r="I70" s="10">
        <f>21+186+4274</f>
        <v>4481</v>
      </c>
      <c r="J70" s="135">
        <f>18</f>
        <v>18</v>
      </c>
      <c r="K70" s="129">
        <v>17</v>
      </c>
      <c r="L70" s="135">
        <v>215</v>
      </c>
      <c r="M70" s="129">
        <f>4992+179</f>
        <v>5171</v>
      </c>
      <c r="N70" s="130">
        <f>SUM(C70:M70)</f>
        <v>56539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4992</v>
      </c>
    </row>
    <row r="73" spans="2:14" x14ac:dyDescent="0.3">
      <c r="B73" s="10"/>
      <c r="C73" s="6" t="s">
        <v>264</v>
      </c>
      <c r="D73" s="7"/>
      <c r="E73" s="8">
        <v>165</v>
      </c>
      <c r="F73" s="10"/>
      <c r="G73" s="10"/>
      <c r="H73" s="12"/>
      <c r="I73" s="10"/>
      <c r="K73" s="10"/>
      <c r="L73" s="10" t="s">
        <v>147</v>
      </c>
      <c r="M73" s="10"/>
      <c r="N73">
        <f>36+31+21+39+27+25</f>
        <v>179</v>
      </c>
    </row>
    <row r="74" spans="2:14" x14ac:dyDescent="0.3">
      <c r="C74" s="42" t="s">
        <v>79</v>
      </c>
      <c r="D74" s="43"/>
      <c r="E74" s="31">
        <v>399</v>
      </c>
      <c r="I74" s="10"/>
      <c r="K74" s="10"/>
      <c r="L74" s="10"/>
      <c r="M74" s="10"/>
    </row>
    <row r="75" spans="2:14" x14ac:dyDescent="0.3">
      <c r="C75" s="44" t="s">
        <v>82</v>
      </c>
      <c r="D75" s="47"/>
      <c r="E75" s="16">
        <v>124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6" t="s">
        <v>117</v>
      </c>
      <c r="D77" s="49"/>
      <c r="E77" s="10"/>
      <c r="I77" s="10"/>
    </row>
    <row r="78" spans="2:14" x14ac:dyDescent="0.3">
      <c r="C78" s="51" t="s">
        <v>118</v>
      </c>
      <c r="D78" s="272">
        <v>811</v>
      </c>
      <c r="E78" s="10"/>
      <c r="I78" s="10"/>
    </row>
    <row r="79" spans="2:14" x14ac:dyDescent="0.3">
      <c r="C79" s="53" t="s">
        <v>108</v>
      </c>
      <c r="D79" s="272">
        <v>1383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123" t="s">
        <v>77</v>
      </c>
      <c r="D81" s="105"/>
      <c r="E81" s="8">
        <v>2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2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0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1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10" t="s">
        <v>179</v>
      </c>
      <c r="D89" s="126">
        <v>116</v>
      </c>
      <c r="E89" s="126">
        <v>6</v>
      </c>
      <c r="F89" s="126">
        <v>324</v>
      </c>
      <c r="G89" s="167">
        <v>611</v>
      </c>
      <c r="H89" s="167">
        <v>157</v>
      </c>
      <c r="I89" s="167">
        <v>0</v>
      </c>
      <c r="J89" s="167">
        <v>0</v>
      </c>
      <c r="K89" s="167">
        <v>302</v>
      </c>
      <c r="L89" s="167">
        <v>18</v>
      </c>
      <c r="M89" s="168" t="s">
        <v>126</v>
      </c>
      <c r="N89" s="127">
        <f>SUM(D89:M89)</f>
        <v>1534</v>
      </c>
    </row>
    <row r="90" spans="2:14" x14ac:dyDescent="0.3">
      <c r="B90" s="9"/>
      <c r="C90" s="12" t="s">
        <v>13</v>
      </c>
      <c r="D90" s="126">
        <v>24</v>
      </c>
      <c r="E90" s="126">
        <v>1</v>
      </c>
      <c r="F90" s="126">
        <v>49</v>
      </c>
      <c r="G90" s="167">
        <v>36</v>
      </c>
      <c r="H90" s="167">
        <v>10</v>
      </c>
      <c r="I90" s="167">
        <v>0</v>
      </c>
      <c r="J90" s="167">
        <v>0</v>
      </c>
      <c r="K90" s="167">
        <v>35</v>
      </c>
      <c r="L90" s="167">
        <v>5</v>
      </c>
      <c r="M90" s="167">
        <v>49</v>
      </c>
      <c r="N90" s="127">
        <f>SUM(D90:M90)</f>
        <v>209</v>
      </c>
    </row>
    <row r="91" spans="2:14" ht="15" thickBot="1" x14ac:dyDescent="0.35">
      <c r="B91" s="9"/>
      <c r="C91" s="12" t="s">
        <v>14</v>
      </c>
      <c r="D91" s="128">
        <v>0</v>
      </c>
      <c r="E91" s="128">
        <v>0</v>
      </c>
      <c r="F91" s="128">
        <v>54</v>
      </c>
      <c r="G91" s="128">
        <v>39</v>
      </c>
      <c r="H91" s="128">
        <v>5</v>
      </c>
      <c r="I91" s="128">
        <v>0</v>
      </c>
      <c r="J91" s="128">
        <v>0</v>
      </c>
      <c r="K91" s="128">
        <v>26</v>
      </c>
      <c r="L91" s="128">
        <v>5</v>
      </c>
      <c r="M91" s="169" t="s">
        <v>126</v>
      </c>
      <c r="N91" s="128">
        <f>SUM(D91:L91)</f>
        <v>129</v>
      </c>
    </row>
    <row r="92" spans="2:14" ht="15" thickTop="1" x14ac:dyDescent="0.3">
      <c r="B92" s="13"/>
      <c r="C92" s="14" t="s">
        <v>12</v>
      </c>
      <c r="D92" s="143">
        <f>SUM(D89:D91)</f>
        <v>140</v>
      </c>
      <c r="E92" s="143">
        <f t="shared" ref="E92:N92" si="7">SUM(E89:E91)</f>
        <v>7</v>
      </c>
      <c r="F92" s="143">
        <f t="shared" si="7"/>
        <v>427</v>
      </c>
      <c r="G92" s="143">
        <f t="shared" si="7"/>
        <v>686</v>
      </c>
      <c r="H92" s="143">
        <f t="shared" si="7"/>
        <v>172</v>
      </c>
      <c r="I92" s="143">
        <f t="shared" si="7"/>
        <v>0</v>
      </c>
      <c r="J92" s="143">
        <f t="shared" si="7"/>
        <v>0</v>
      </c>
      <c r="K92" s="143">
        <f t="shared" si="7"/>
        <v>363</v>
      </c>
      <c r="L92" s="143">
        <f t="shared" si="7"/>
        <v>28</v>
      </c>
      <c r="M92" s="143">
        <f t="shared" si="7"/>
        <v>49</v>
      </c>
      <c r="N92" s="143">
        <f t="shared" si="7"/>
        <v>1872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7</v>
      </c>
      <c r="E95" s="126">
        <v>5</v>
      </c>
      <c r="F95" s="126">
        <v>11</v>
      </c>
      <c r="G95" s="150">
        <v>47</v>
      </c>
      <c r="H95" s="150">
        <v>6</v>
      </c>
      <c r="I95" s="150">
        <v>0</v>
      </c>
      <c r="J95" s="150">
        <v>0</v>
      </c>
      <c r="K95" s="150">
        <v>15</v>
      </c>
      <c r="L95" s="150">
        <v>1</v>
      </c>
      <c r="M95" s="150">
        <f>SUM(D95:L95)</f>
        <v>92</v>
      </c>
      <c r="N95" s="10"/>
    </row>
    <row r="96" spans="2:14" ht="15" thickBot="1" x14ac:dyDescent="0.35">
      <c r="B96" s="365" t="s">
        <v>177</v>
      </c>
      <c r="C96" s="380"/>
      <c r="D96" s="128">
        <v>0</v>
      </c>
      <c r="E96" s="128">
        <v>0</v>
      </c>
      <c r="F96" s="128">
        <v>0</v>
      </c>
      <c r="G96" s="174">
        <v>66</v>
      </c>
      <c r="H96" s="174">
        <v>0</v>
      </c>
      <c r="I96" s="174">
        <v>20</v>
      </c>
      <c r="J96" s="174">
        <v>0</v>
      </c>
      <c r="K96" s="174">
        <v>506</v>
      </c>
      <c r="L96" s="174">
        <v>0</v>
      </c>
      <c r="M96" s="174">
        <f>SUM(D96:L96)</f>
        <v>592</v>
      </c>
      <c r="N96" s="10"/>
    </row>
    <row r="97" spans="1:15" ht="15" thickTop="1" x14ac:dyDescent="0.3">
      <c r="B97" s="28"/>
      <c r="C97" s="190" t="s">
        <v>29</v>
      </c>
      <c r="D97" s="171">
        <f t="shared" ref="D97:L97" si="8">SUM(D95:D96)</f>
        <v>7</v>
      </c>
      <c r="E97" s="171">
        <f t="shared" si="8"/>
        <v>5</v>
      </c>
      <c r="F97" s="171">
        <f t="shared" si="8"/>
        <v>11</v>
      </c>
      <c r="G97" s="171">
        <f t="shared" si="8"/>
        <v>113</v>
      </c>
      <c r="H97" s="171">
        <f t="shared" si="8"/>
        <v>6</v>
      </c>
      <c r="I97" s="172">
        <f t="shared" si="8"/>
        <v>20</v>
      </c>
      <c r="J97" s="171">
        <f t="shared" si="8"/>
        <v>0</v>
      </c>
      <c r="K97" s="171">
        <f t="shared" si="8"/>
        <v>521</v>
      </c>
      <c r="L97" s="171">
        <f t="shared" si="8"/>
        <v>1</v>
      </c>
      <c r="M97" s="173">
        <f>SUM(M95:M96)</f>
        <v>684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43">
        <v>0</v>
      </c>
      <c r="E99" s="143">
        <v>0</v>
      </c>
      <c r="F99" s="143">
        <v>0</v>
      </c>
      <c r="G99" s="151">
        <v>22</v>
      </c>
      <c r="H99" s="151">
        <v>3</v>
      </c>
      <c r="I99" s="151">
        <v>0</v>
      </c>
      <c r="J99" s="151">
        <v>0</v>
      </c>
      <c r="K99" s="151">
        <v>38</v>
      </c>
      <c r="L99" s="151">
        <v>0</v>
      </c>
      <c r="M99" s="151">
        <f>SUM(D99:L99)</f>
        <v>63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1:15" x14ac:dyDescent="0.3">
      <c r="B104" s="374" t="s">
        <v>23</v>
      </c>
      <c r="C104" s="375"/>
      <c r="D104" s="131">
        <v>17.75</v>
      </c>
      <c r="E104" s="131">
        <v>0</v>
      </c>
      <c r="F104" s="131">
        <v>41.5</v>
      </c>
      <c r="G104" s="131">
        <v>12</v>
      </c>
      <c r="H104" s="131">
        <v>0.25</v>
      </c>
      <c r="I104" s="131">
        <v>0</v>
      </c>
      <c r="J104" s="131">
        <v>0</v>
      </c>
      <c r="K104" s="131">
        <v>82</v>
      </c>
      <c r="L104" s="131">
        <v>33.450000000000003</v>
      </c>
      <c r="M104" s="132">
        <v>0</v>
      </c>
      <c r="N104" s="133">
        <f>SUM(D104:M104)</f>
        <v>186.95</v>
      </c>
    </row>
    <row r="105" spans="1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6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30">
        <v>942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30">
        <v>167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30">
        <v>37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30">
        <v>15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6">
        <v>0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58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50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1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563+143</f>
        <v>706</v>
      </c>
    </row>
    <row r="120" spans="2:14" x14ac:dyDescent="0.3">
      <c r="C120" s="9" t="s">
        <v>20</v>
      </c>
      <c r="D120" s="10"/>
      <c r="E120" s="137">
        <f>158+35</f>
        <v>193</v>
      </c>
    </row>
    <row r="121" spans="2:14" x14ac:dyDescent="0.3">
      <c r="C121" s="9" t="s">
        <v>19</v>
      </c>
      <c r="D121" s="10"/>
      <c r="E121" s="137">
        <f>19+7</f>
        <v>26</v>
      </c>
    </row>
    <row r="122" spans="2:14" x14ac:dyDescent="0.3">
      <c r="C122" s="9" t="s">
        <v>93</v>
      </c>
      <c r="D122" s="10"/>
      <c r="E122" s="137">
        <f>593+25</f>
        <v>618</v>
      </c>
    </row>
    <row r="123" spans="2:14" x14ac:dyDescent="0.3">
      <c r="C123" s="13" t="s">
        <v>96</v>
      </c>
      <c r="D123" s="15"/>
      <c r="E123" s="138">
        <v>0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v>0</v>
      </c>
    </row>
    <row r="127" spans="2:14" x14ac:dyDescent="0.3">
      <c r="C127" s="51" t="s">
        <v>88</v>
      </c>
      <c r="D127" s="10"/>
      <c r="E127" s="137">
        <v>2</v>
      </c>
    </row>
    <row r="128" spans="2:14" x14ac:dyDescent="0.3">
      <c r="C128" s="51" t="s">
        <v>90</v>
      </c>
      <c r="D128" s="10"/>
      <c r="E128" s="137">
        <v>33</v>
      </c>
    </row>
    <row r="129" spans="3:15" x14ac:dyDescent="0.3">
      <c r="C129" s="51" t="s">
        <v>92</v>
      </c>
      <c r="D129" s="12"/>
      <c r="E129" s="137">
        <f>1197+80+1</f>
        <v>1278</v>
      </c>
    </row>
    <row r="130" spans="3:15" x14ac:dyDescent="0.3">
      <c r="C130" s="51" t="s">
        <v>95</v>
      </c>
      <c r="D130" s="12"/>
      <c r="E130" s="137">
        <f>74+1+4+12+2</f>
        <v>93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f>9+5+8</f>
        <v>22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f>23+1</f>
        <v>24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51" t="s">
        <v>100</v>
      </c>
      <c r="D133" s="10"/>
      <c r="E133" s="137">
        <v>1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>
        <v>0</v>
      </c>
    </row>
    <row r="137" spans="3:15" x14ac:dyDescent="0.3">
      <c r="C137" s="50" t="s">
        <v>25</v>
      </c>
      <c r="D137" s="10"/>
      <c r="E137" s="139">
        <v>3</v>
      </c>
    </row>
    <row r="138" spans="3:15" x14ac:dyDescent="0.3">
      <c r="C138" s="50" t="s">
        <v>149</v>
      </c>
      <c r="D138" s="10"/>
      <c r="E138" s="139">
        <v>0</v>
      </c>
    </row>
    <row r="139" spans="3:15" x14ac:dyDescent="0.3">
      <c r="C139" s="52" t="s">
        <v>26</v>
      </c>
      <c r="D139" s="15"/>
      <c r="E139" s="138">
        <f>337+124+109</f>
        <v>570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191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2</v>
      </c>
      <c r="F144" s="126">
        <v>0</v>
      </c>
      <c r="G144" s="157">
        <f>SUM(E144:F144)</f>
        <v>2</v>
      </c>
    </row>
    <row r="145" spans="2:14" x14ac:dyDescent="0.3">
      <c r="C145" s="160" t="s">
        <v>13</v>
      </c>
      <c r="D145" s="163"/>
      <c r="E145" s="126">
        <v>2</v>
      </c>
      <c r="F145" s="126" t="s">
        <v>126</v>
      </c>
      <c r="G145" s="157">
        <f t="shared" ref="G145:G148" si="9">SUM(E145:F145)</f>
        <v>2</v>
      </c>
    </row>
    <row r="146" spans="2:14" x14ac:dyDescent="0.3">
      <c r="C146" s="160" t="s">
        <v>122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3">
      <c r="C147" s="158" t="s">
        <v>124</v>
      </c>
      <c r="D147" s="162"/>
      <c r="E147" s="127">
        <v>16</v>
      </c>
      <c r="F147" s="127">
        <v>0</v>
      </c>
      <c r="G147" s="157">
        <f t="shared" si="9"/>
        <v>16</v>
      </c>
      <c r="L147" s="10"/>
      <c r="M147" s="29"/>
    </row>
    <row r="148" spans="2:14" x14ac:dyDescent="0.3">
      <c r="C148" s="159" t="s">
        <v>13</v>
      </c>
      <c r="D148" s="158"/>
      <c r="E148" s="127">
        <v>1</v>
      </c>
      <c r="F148" s="127" t="s">
        <v>126</v>
      </c>
      <c r="G148" s="157">
        <f t="shared" si="9"/>
        <v>1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69.599999999999994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115" t="s">
        <v>153</v>
      </c>
    </row>
    <row r="152" spans="2:14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4.75" customHeight="1" x14ac:dyDescent="0.3">
      <c r="B153" s="399"/>
      <c r="C153" s="400"/>
      <c r="D153" s="385"/>
      <c r="E153" s="386"/>
      <c r="F153" s="106"/>
    </row>
    <row r="154" spans="2:14" ht="20.25" customHeight="1" x14ac:dyDescent="0.3">
      <c r="B154" s="372" t="s">
        <v>169</v>
      </c>
      <c r="C154" s="373"/>
      <c r="D154" s="370">
        <v>404</v>
      </c>
      <c r="E154" s="371"/>
      <c r="F154" s="107"/>
    </row>
    <row r="155" spans="2:14" ht="18" customHeight="1" x14ac:dyDescent="0.3">
      <c r="B155" s="372" t="s">
        <v>183</v>
      </c>
      <c r="C155" s="373"/>
      <c r="D155" s="370">
        <v>2030</v>
      </c>
      <c r="E155" s="371"/>
      <c r="F155" s="107"/>
    </row>
    <row r="156" spans="2:14" x14ac:dyDescent="0.3">
      <c r="B156" s="372" t="s">
        <v>154</v>
      </c>
      <c r="C156" s="373"/>
      <c r="D156" s="370">
        <v>5612</v>
      </c>
      <c r="E156" s="371"/>
      <c r="F156" s="107"/>
    </row>
    <row r="157" spans="2:14" x14ac:dyDescent="0.3">
      <c r="B157" s="372" t="s">
        <v>155</v>
      </c>
      <c r="C157" s="373"/>
      <c r="D157" s="370">
        <v>487</v>
      </c>
      <c r="E157" s="371"/>
      <c r="F157" s="107"/>
    </row>
    <row r="158" spans="2:14" x14ac:dyDescent="0.3">
      <c r="B158" s="372" t="s">
        <v>156</v>
      </c>
      <c r="C158" s="373"/>
      <c r="D158" s="370">
        <v>6070</v>
      </c>
      <c r="E158" s="371"/>
      <c r="F158" s="107"/>
    </row>
    <row r="159" spans="2:14" x14ac:dyDescent="0.3">
      <c r="B159" s="372" t="s">
        <v>123</v>
      </c>
      <c r="C159" s="373"/>
      <c r="D159" s="370">
        <v>235</v>
      </c>
      <c r="E159" s="371"/>
      <c r="F159" s="107"/>
    </row>
    <row r="160" spans="2:14" x14ac:dyDescent="0.3">
      <c r="B160" s="372" t="s">
        <v>125</v>
      </c>
      <c r="C160" s="373"/>
      <c r="D160" s="370">
        <v>171</v>
      </c>
      <c r="E160" s="371"/>
      <c r="F160" s="107"/>
    </row>
    <row r="161" spans="2:15" x14ac:dyDescent="0.3">
      <c r="B161" s="372" t="s">
        <v>110</v>
      </c>
      <c r="C161" s="373"/>
      <c r="D161" s="370">
        <v>30</v>
      </c>
      <c r="E161" s="371"/>
      <c r="F161" s="107">
        <v>24</v>
      </c>
    </row>
    <row r="162" spans="2:15" x14ac:dyDescent="0.3">
      <c r="B162" s="372" t="s">
        <v>157</v>
      </c>
      <c r="C162" s="373"/>
      <c r="D162" s="370">
        <v>381</v>
      </c>
      <c r="E162" s="371"/>
      <c r="F162" s="107"/>
    </row>
    <row r="163" spans="2:15" ht="21.75" customHeight="1" x14ac:dyDescent="0.3">
      <c r="B163" s="372" t="s">
        <v>128</v>
      </c>
      <c r="C163" s="373"/>
      <c r="D163" s="370">
        <v>52</v>
      </c>
      <c r="E163" s="371"/>
      <c r="F163" s="107"/>
    </row>
    <row r="164" spans="2:15" ht="26.25" customHeight="1" x14ac:dyDescent="0.3">
      <c r="B164" s="395" t="s">
        <v>158</v>
      </c>
      <c r="C164" s="396"/>
      <c r="D164" s="353">
        <v>219</v>
      </c>
      <c r="E164" s="354"/>
      <c r="F164" s="108"/>
    </row>
    <row r="165" spans="2:15" ht="21.75" customHeight="1" x14ac:dyDescent="0.3">
      <c r="B165" s="395" t="s">
        <v>159</v>
      </c>
      <c r="C165" s="396"/>
      <c r="D165" s="353">
        <v>3476</v>
      </c>
      <c r="E165" s="354"/>
      <c r="F165" s="108"/>
    </row>
    <row r="166" spans="2:15" ht="23.25" customHeight="1" x14ac:dyDescent="0.3">
      <c r="B166" s="397" t="s">
        <v>160</v>
      </c>
      <c r="C166" s="398"/>
      <c r="D166" s="355">
        <v>618</v>
      </c>
      <c r="E166" s="356"/>
      <c r="F166" s="109"/>
    </row>
    <row r="167" spans="2:15" ht="22.5" customHeight="1" x14ac:dyDescent="0.3">
      <c r="B167" s="387" t="s">
        <v>161</v>
      </c>
      <c r="C167" s="388"/>
      <c r="D167" s="357">
        <v>480</v>
      </c>
      <c r="E167" s="358"/>
      <c r="F167" s="110"/>
    </row>
    <row r="168" spans="2:15" ht="23.25" customHeight="1" x14ac:dyDescent="0.3">
      <c r="B168" s="387" t="s">
        <v>162</v>
      </c>
      <c r="C168" s="388"/>
      <c r="D168" s="357">
        <v>241</v>
      </c>
      <c r="E168" s="358"/>
      <c r="F168" s="110"/>
    </row>
    <row r="169" spans="2:15" ht="21.75" customHeight="1" x14ac:dyDescent="0.3">
      <c r="B169" s="389" t="s">
        <v>163</v>
      </c>
      <c r="C169" s="390"/>
      <c r="D169" s="359">
        <v>831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30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219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5</v>
      </c>
    </row>
    <row r="174" spans="2:15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5" ht="15" thickTop="1" x14ac:dyDescent="0.3">
      <c r="B175" s="164" t="s">
        <v>166</v>
      </c>
      <c r="C175" s="165"/>
      <c r="D175" s="343">
        <f>SUM(D152:E174)</f>
        <v>21586</v>
      </c>
      <c r="E175" s="344"/>
      <c r="F175" s="184">
        <f>SUM(F152:F174)</f>
        <v>29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6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26">
        <v>30</v>
      </c>
      <c r="F178" s="337">
        <v>24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v>6070</v>
      </c>
      <c r="F181" s="126"/>
      <c r="I181" s="29"/>
      <c r="J181" s="29"/>
      <c r="K181" s="54"/>
      <c r="L181" s="54"/>
      <c r="M181" s="58"/>
    </row>
    <row r="182" spans="2:14" x14ac:dyDescent="0.3">
      <c r="C182" s="345" t="s">
        <v>114</v>
      </c>
      <c r="D182" s="346"/>
      <c r="E182" s="126">
        <v>5612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219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67</v>
      </c>
      <c r="E187" s="143">
        <v>48</v>
      </c>
      <c r="F187" s="143">
        <v>467</v>
      </c>
      <c r="G187" s="177">
        <v>236</v>
      </c>
      <c r="H187" s="177">
        <v>220</v>
      </c>
      <c r="I187" s="177">
        <v>0</v>
      </c>
      <c r="J187" s="177">
        <v>61</v>
      </c>
      <c r="K187" s="177">
        <v>248</v>
      </c>
      <c r="L187" s="177">
        <v>326</v>
      </c>
      <c r="M187" s="177">
        <f>SUM(D187:L187)</f>
        <v>1673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132</v>
      </c>
      <c r="H188" s="126" t="s">
        <v>126</v>
      </c>
      <c r="I188" s="126" t="s">
        <v>126</v>
      </c>
      <c r="J188" s="126" t="s">
        <v>126</v>
      </c>
      <c r="K188" s="126">
        <v>223</v>
      </c>
      <c r="L188" s="126">
        <v>40</v>
      </c>
      <c r="M188" s="127">
        <f>SUM(D188:L188)</f>
        <v>395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0</v>
      </c>
      <c r="G189" s="128">
        <v>0</v>
      </c>
      <c r="H189" s="144">
        <v>0</v>
      </c>
      <c r="I189" s="144">
        <v>0</v>
      </c>
      <c r="J189" s="128" t="s">
        <v>126</v>
      </c>
      <c r="K189" s="128">
        <v>4</v>
      </c>
      <c r="L189" s="144">
        <v>40</v>
      </c>
      <c r="M189" s="144">
        <f>SUM(D189:L189)</f>
        <v>44</v>
      </c>
    </row>
    <row r="190" spans="2:14" ht="15" thickTop="1" x14ac:dyDescent="0.3">
      <c r="C190" s="38" t="s">
        <v>12</v>
      </c>
      <c r="D190" s="143">
        <f>SUM(D187:D189)</f>
        <v>67</v>
      </c>
      <c r="E190" s="143">
        <f>SUM(E187:E189)</f>
        <v>48</v>
      </c>
      <c r="F190" s="143">
        <f t="shared" ref="F190:M190" si="10">SUM(F187:F189)</f>
        <v>467</v>
      </c>
      <c r="G190" s="143">
        <f t="shared" si="10"/>
        <v>368</v>
      </c>
      <c r="H190" s="177">
        <f t="shared" si="10"/>
        <v>220</v>
      </c>
      <c r="I190" s="143">
        <f t="shared" si="10"/>
        <v>0</v>
      </c>
      <c r="J190" s="143">
        <f t="shared" si="10"/>
        <v>61</v>
      </c>
      <c r="K190" s="143">
        <f t="shared" si="10"/>
        <v>475</v>
      </c>
      <c r="L190" s="177">
        <f t="shared" si="10"/>
        <v>406</v>
      </c>
      <c r="M190" s="177">
        <f t="shared" si="10"/>
        <v>2112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s="68" t="s">
        <v>248</v>
      </c>
      <c r="D196" s="22"/>
      <c r="E196" s="22"/>
      <c r="F196" s="22"/>
      <c r="G196" s="69"/>
      <c r="H196" s="70" t="s">
        <v>256</v>
      </c>
      <c r="I196" s="71"/>
      <c r="J196" s="72"/>
      <c r="K196" s="73"/>
      <c r="L196" s="74"/>
      <c r="M196" s="74"/>
      <c r="N196" s="75"/>
    </row>
    <row r="197" spans="2:14" x14ac:dyDescent="0.3">
      <c r="B197" s="68"/>
      <c r="C197" s="22"/>
      <c r="D197" s="22"/>
      <c r="E197" s="22"/>
      <c r="F197" s="22"/>
      <c r="G197" s="72"/>
      <c r="H197" s="70" t="s">
        <v>261</v>
      </c>
      <c r="I197" s="72"/>
      <c r="J197" s="72"/>
      <c r="K197" s="72"/>
      <c r="L197" s="76"/>
      <c r="M197" s="76"/>
      <c r="N197" s="77"/>
    </row>
    <row r="198" spans="2:14" x14ac:dyDescent="0.3">
      <c r="B198" s="9"/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3">
      <c r="B199" s="78" t="s">
        <v>136</v>
      </c>
      <c r="C199" s="10"/>
      <c r="D199" s="10"/>
      <c r="E199" s="10"/>
      <c r="F199" s="10"/>
      <c r="G199" s="10"/>
      <c r="H199" s="79" t="s">
        <v>95</v>
      </c>
      <c r="I199" s="10"/>
      <c r="J199" s="10"/>
      <c r="K199" s="10"/>
      <c r="L199" s="10"/>
      <c r="M199" s="10"/>
      <c r="N199" s="30"/>
    </row>
    <row r="200" spans="2:14" ht="17.399999999999999" x14ac:dyDescent="0.3">
      <c r="B200" s="80" t="s">
        <v>265</v>
      </c>
      <c r="C200" s="82"/>
      <c r="D200" s="267"/>
      <c r="E200" s="267"/>
      <c r="F200" s="267"/>
      <c r="G200" s="72"/>
      <c r="H200" s="274" t="s">
        <v>249</v>
      </c>
      <c r="I200" s="72"/>
      <c r="J200" s="71"/>
      <c r="K200" s="83"/>
      <c r="L200" s="22"/>
      <c r="M200" s="22"/>
      <c r="N200" s="84"/>
    </row>
    <row r="201" spans="2:14" ht="17.399999999999999" x14ac:dyDescent="0.3">
      <c r="B201" s="275" t="s">
        <v>266</v>
      </c>
      <c r="C201" s="267"/>
      <c r="D201" s="267"/>
      <c r="E201" s="267"/>
      <c r="F201" s="267"/>
      <c r="G201" s="72"/>
      <c r="H201" s="85" t="s">
        <v>257</v>
      </c>
      <c r="I201" s="71"/>
      <c r="J201" s="72"/>
      <c r="K201" s="72"/>
      <c r="L201" s="22"/>
      <c r="M201" s="22"/>
      <c r="N201" s="84"/>
    </row>
    <row r="202" spans="2:14" ht="17.399999999999999" x14ac:dyDescent="0.3">
      <c r="B202" s="268" t="s">
        <v>263</v>
      </c>
      <c r="C202" s="82"/>
      <c r="D202" s="267"/>
      <c r="E202" s="267"/>
      <c r="F202" s="267"/>
      <c r="G202" s="267"/>
      <c r="H202" s="85" t="s">
        <v>260</v>
      </c>
      <c r="I202" s="71"/>
      <c r="J202" s="71"/>
      <c r="K202" s="71"/>
      <c r="L202" s="71"/>
      <c r="M202" s="22"/>
      <c r="N202" s="84"/>
    </row>
    <row r="203" spans="2:14" x14ac:dyDescent="0.3">
      <c r="B203" s="268" t="s">
        <v>252</v>
      </c>
      <c r="C203" s="267"/>
      <c r="D203" s="79"/>
      <c r="E203" s="267"/>
      <c r="F203" s="79"/>
      <c r="G203" s="269"/>
      <c r="H203" s="70"/>
      <c r="I203" s="10"/>
      <c r="J203" s="72"/>
      <c r="K203" s="72"/>
      <c r="L203" s="22"/>
      <c r="M203" s="22"/>
      <c r="N203" s="84"/>
    </row>
    <row r="204" spans="2:14" x14ac:dyDescent="0.3">
      <c r="B204" s="81" t="s">
        <v>253</v>
      </c>
      <c r="C204" s="267"/>
      <c r="D204" s="267"/>
      <c r="E204" s="267"/>
      <c r="F204" s="267"/>
      <c r="G204" s="269"/>
      <c r="H204" s="70"/>
      <c r="I204" s="10"/>
      <c r="J204" s="72"/>
      <c r="K204" s="72"/>
      <c r="L204" s="22"/>
      <c r="M204" s="22"/>
      <c r="N204" s="84"/>
    </row>
    <row r="205" spans="2:14" x14ac:dyDescent="0.3">
      <c r="B205" s="81" t="s">
        <v>246</v>
      </c>
      <c r="C205" s="267"/>
      <c r="D205" s="267"/>
      <c r="E205" s="267"/>
      <c r="F205" s="267"/>
      <c r="G205" s="269"/>
      <c r="H205" s="79" t="s">
        <v>168</v>
      </c>
      <c r="L205" s="22"/>
      <c r="M205" s="22"/>
      <c r="N205" s="84"/>
    </row>
    <row r="206" spans="2:14" ht="17.399999999999999" x14ac:dyDescent="0.3">
      <c r="B206" s="268" t="s">
        <v>254</v>
      </c>
      <c r="C206" s="270"/>
      <c r="E206" s="270"/>
      <c r="F206" s="270"/>
      <c r="G206" s="271"/>
      <c r="I206" s="10"/>
      <c r="J206" s="71"/>
      <c r="K206" s="71"/>
      <c r="L206" s="22"/>
      <c r="M206" s="22"/>
      <c r="N206" s="84"/>
    </row>
    <row r="207" spans="2:14" x14ac:dyDescent="0.3">
      <c r="B207" s="80" t="s">
        <v>255</v>
      </c>
      <c r="C207" s="267"/>
      <c r="D207" s="267"/>
      <c r="E207" s="267"/>
      <c r="F207" s="267"/>
      <c r="G207" s="271"/>
      <c r="H207" s="85" t="s">
        <v>251</v>
      </c>
      <c r="I207" s="10"/>
      <c r="J207" s="72"/>
      <c r="K207" s="72"/>
      <c r="L207" s="76"/>
      <c r="M207" s="76"/>
      <c r="N207" s="77"/>
    </row>
    <row r="208" spans="2:14" x14ac:dyDescent="0.3">
      <c r="B208" s="80" t="s">
        <v>258</v>
      </c>
      <c r="C208" s="267"/>
      <c r="D208" s="267"/>
      <c r="E208" s="267"/>
      <c r="F208" s="267"/>
      <c r="G208" s="271"/>
      <c r="I208" s="10"/>
      <c r="J208" s="72"/>
      <c r="L208" s="76"/>
      <c r="M208" s="76"/>
      <c r="N208" s="77"/>
    </row>
    <row r="209" spans="2:14" x14ac:dyDescent="0.3">
      <c r="B209" s="81" t="s">
        <v>259</v>
      </c>
      <c r="C209" s="267"/>
      <c r="D209" s="267"/>
      <c r="E209" s="267"/>
      <c r="F209" s="267"/>
      <c r="G209" s="271"/>
      <c r="H209" s="85"/>
      <c r="I209" s="10"/>
      <c r="J209" s="72"/>
      <c r="K209" s="72"/>
      <c r="L209" s="76"/>
      <c r="M209" s="76"/>
      <c r="N209" s="77"/>
    </row>
    <row r="210" spans="2:14" ht="17.399999999999999" x14ac:dyDescent="0.3">
      <c r="B210" s="268" t="s">
        <v>262</v>
      </c>
      <c r="C210" s="267"/>
      <c r="D210" s="267"/>
      <c r="E210" s="267"/>
      <c r="F210" s="267"/>
      <c r="G210" s="271"/>
      <c r="I210" s="10"/>
      <c r="J210" s="71"/>
      <c r="K210" s="71"/>
      <c r="L210" s="76"/>
      <c r="M210" s="76"/>
      <c r="N210" s="77"/>
    </row>
    <row r="211" spans="2:14" x14ac:dyDescent="0.3">
      <c r="B211" s="268"/>
      <c r="C211" s="22"/>
      <c r="D211" s="22"/>
      <c r="E211" s="10"/>
      <c r="F211" s="10"/>
      <c r="G211" s="10"/>
      <c r="H211" s="88" t="s">
        <v>138</v>
      </c>
      <c r="I211" s="10"/>
      <c r="J211" s="10"/>
      <c r="K211" s="10"/>
      <c r="L211" s="10"/>
      <c r="M211" s="10"/>
      <c r="N211" s="30"/>
    </row>
    <row r="212" spans="2:14" x14ac:dyDescent="0.3">
      <c r="B212" s="9"/>
      <c r="C212" s="22"/>
      <c r="D212" s="22"/>
      <c r="E212" s="22"/>
      <c r="F212" s="22"/>
      <c r="G212" s="69"/>
      <c r="H212" s="70"/>
      <c r="I212" s="10"/>
      <c r="J212" s="10"/>
      <c r="K212" s="10"/>
      <c r="L212" s="76"/>
      <c r="M212" s="76"/>
      <c r="N212" s="77"/>
    </row>
    <row r="213" spans="2:14" x14ac:dyDescent="0.3">
      <c r="B213" s="87" t="s">
        <v>137</v>
      </c>
      <c r="C213" s="79"/>
      <c r="D213" s="79"/>
      <c r="E213" s="22"/>
      <c r="F213" s="22"/>
      <c r="G213" s="69"/>
      <c r="H213" s="85"/>
      <c r="I213" s="10"/>
      <c r="J213" s="72"/>
      <c r="K213" s="72"/>
      <c r="L213" s="76"/>
      <c r="M213" s="76"/>
      <c r="N213" s="77"/>
    </row>
    <row r="214" spans="2:14" x14ac:dyDescent="0.3">
      <c r="B214" s="81" t="s">
        <v>247</v>
      </c>
      <c r="C214" s="22"/>
      <c r="D214" s="22"/>
      <c r="E214" s="22"/>
      <c r="F214" s="82"/>
      <c r="G214" s="22"/>
      <c r="H214" s="85"/>
      <c r="I214" s="10"/>
      <c r="J214" s="22"/>
      <c r="K214" s="72"/>
      <c r="L214" s="10"/>
      <c r="M214" s="10"/>
      <c r="N214" s="30"/>
    </row>
    <row r="215" spans="2:14" ht="17.399999999999999" x14ac:dyDescent="0.3">
      <c r="B215" s="81" t="s">
        <v>250</v>
      </c>
      <c r="C215" s="22"/>
      <c r="D215" s="22"/>
      <c r="E215" s="22"/>
      <c r="F215" s="22"/>
      <c r="G215" s="69"/>
      <c r="H215" s="85"/>
      <c r="I215" s="10"/>
      <c r="J215" s="71"/>
      <c r="K215" s="71"/>
      <c r="L215" s="22"/>
      <c r="M215" s="22"/>
      <c r="N215" s="84"/>
    </row>
    <row r="216" spans="2:14" ht="17.399999999999999" x14ac:dyDescent="0.3">
      <c r="B216" s="9"/>
      <c r="C216" s="22"/>
      <c r="D216" s="22"/>
      <c r="E216" s="22"/>
      <c r="F216" s="82"/>
      <c r="G216" s="72"/>
      <c r="H216" s="85"/>
      <c r="I216" s="73"/>
      <c r="J216" s="72"/>
      <c r="K216" s="73"/>
      <c r="L216" s="74"/>
      <c r="M216" s="74"/>
      <c r="N216" s="84"/>
    </row>
    <row r="217" spans="2:14" ht="17.399999999999999" x14ac:dyDescent="0.3">
      <c r="B217" s="273"/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3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2">
    <mergeCell ref="F178:G178"/>
    <mergeCell ref="C181:D181"/>
    <mergeCell ref="C182:D182"/>
    <mergeCell ref="C183:D183"/>
    <mergeCell ref="B192:C192"/>
    <mergeCell ref="B168:C168"/>
    <mergeCell ref="D168:E168"/>
    <mergeCell ref="B169:C169"/>
    <mergeCell ref="D169:E169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65:C165"/>
    <mergeCell ref="D165:E165"/>
    <mergeCell ref="B166:C166"/>
    <mergeCell ref="D166:E166"/>
    <mergeCell ref="B167:C167"/>
    <mergeCell ref="D167:E167"/>
    <mergeCell ref="B162:C162"/>
    <mergeCell ref="D162:E162"/>
    <mergeCell ref="B163:C163"/>
    <mergeCell ref="D163:E163"/>
    <mergeCell ref="B164:C164"/>
    <mergeCell ref="D164:E164"/>
    <mergeCell ref="B159:C159"/>
    <mergeCell ref="D159:E159"/>
    <mergeCell ref="B160:C160"/>
    <mergeCell ref="D160:E160"/>
    <mergeCell ref="B161:C161"/>
    <mergeCell ref="D161:E161"/>
    <mergeCell ref="B156:C156"/>
    <mergeCell ref="D156:E156"/>
    <mergeCell ref="B157:C157"/>
    <mergeCell ref="D157:E157"/>
    <mergeCell ref="B158:C158"/>
    <mergeCell ref="D158:E158"/>
    <mergeCell ref="B153:C153"/>
    <mergeCell ref="D153:E153"/>
    <mergeCell ref="B154:C154"/>
    <mergeCell ref="D154:E154"/>
    <mergeCell ref="B155:C155"/>
    <mergeCell ref="D155:E155"/>
    <mergeCell ref="M101:M103"/>
    <mergeCell ref="B104:C104"/>
    <mergeCell ref="B151:C151"/>
    <mergeCell ref="D151:E151"/>
    <mergeCell ref="B152:C152"/>
    <mergeCell ref="D152:E152"/>
    <mergeCell ref="G152:I152"/>
    <mergeCell ref="K67:M67"/>
    <mergeCell ref="B87:C87"/>
    <mergeCell ref="B88:C88"/>
    <mergeCell ref="B96:C96"/>
    <mergeCell ref="B99:C99"/>
    <mergeCell ref="B95:C95"/>
    <mergeCell ref="B67:C67"/>
    <mergeCell ref="D67:E67"/>
    <mergeCell ref="H67:J67"/>
    <mergeCell ref="B23:C23"/>
    <mergeCell ref="B24:C24"/>
    <mergeCell ref="B63:C63"/>
    <mergeCell ref="B64:C64"/>
    <mergeCell ref="B66:C6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opLeftCell="A74" workbookViewId="0">
      <selection activeCell="E184" sqref="E184"/>
    </sheetView>
  </sheetViews>
  <sheetFormatPr defaultRowHeight="14.4" x14ac:dyDescent="0.3"/>
  <cols>
    <col min="7" max="7" width="10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 t="s">
        <v>191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37" t="s">
        <v>17</v>
      </c>
      <c r="D6" s="126">
        <v>70</v>
      </c>
      <c r="E6" s="126">
        <v>0</v>
      </c>
      <c r="F6" s="126">
        <v>143</v>
      </c>
      <c r="G6" s="127">
        <v>259</v>
      </c>
      <c r="H6" s="127">
        <v>72</v>
      </c>
      <c r="I6" s="127">
        <v>1</v>
      </c>
      <c r="J6" s="127">
        <v>4</v>
      </c>
      <c r="K6" s="127">
        <v>79</v>
      </c>
      <c r="L6" s="127">
        <v>58</v>
      </c>
      <c r="M6" s="127">
        <f>SUM(D6:L6)</f>
        <v>686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11</v>
      </c>
      <c r="H8" s="127">
        <v>18</v>
      </c>
      <c r="I8" s="127">
        <v>1</v>
      </c>
      <c r="J8" s="126">
        <v>0</v>
      </c>
      <c r="K8" s="126">
        <v>23</v>
      </c>
      <c r="L8" s="127">
        <v>0</v>
      </c>
      <c r="M8" s="127">
        <f>SUM(D8:L8)</f>
        <v>73</v>
      </c>
    </row>
    <row r="9" spans="2:15" x14ac:dyDescent="0.3">
      <c r="C9" s="38" t="s">
        <v>20</v>
      </c>
      <c r="D9" s="126">
        <v>5</v>
      </c>
      <c r="E9" s="126">
        <v>4</v>
      </c>
      <c r="F9" s="126">
        <v>21</v>
      </c>
      <c r="G9" s="126">
        <v>54</v>
      </c>
      <c r="H9" s="127">
        <v>21</v>
      </c>
      <c r="I9" s="126">
        <v>1</v>
      </c>
      <c r="J9" s="126">
        <v>2</v>
      </c>
      <c r="K9" s="126">
        <v>24</v>
      </c>
      <c r="L9" s="127">
        <v>4</v>
      </c>
      <c r="M9" s="127">
        <f>SUM(D9:L9)</f>
        <v>136</v>
      </c>
    </row>
    <row r="10" spans="2:15" x14ac:dyDescent="0.3">
      <c r="C10" s="38" t="s">
        <v>21</v>
      </c>
      <c r="D10" s="127">
        <v>114</v>
      </c>
      <c r="E10" s="126">
        <v>50</v>
      </c>
      <c r="F10" s="126">
        <v>239</v>
      </c>
      <c r="G10" s="126">
        <v>263</v>
      </c>
      <c r="H10" s="127">
        <v>140</v>
      </c>
      <c r="I10" s="126">
        <v>13</v>
      </c>
      <c r="J10" s="126">
        <v>9</v>
      </c>
      <c r="K10" s="126">
        <v>451</v>
      </c>
      <c r="L10" s="127">
        <v>128</v>
      </c>
      <c r="M10" s="127">
        <f>SUM(D10:L10)</f>
        <v>1407</v>
      </c>
    </row>
    <row r="11" spans="2:15" x14ac:dyDescent="0.3">
      <c r="C11" s="38" t="s">
        <v>12</v>
      </c>
      <c r="D11" s="127">
        <f t="shared" ref="D11:M11" si="0">SUM(D6:D10)</f>
        <v>191</v>
      </c>
      <c r="E11" s="126">
        <f t="shared" si="0"/>
        <v>56</v>
      </c>
      <c r="F11" s="127">
        <f t="shared" si="0"/>
        <v>421</v>
      </c>
      <c r="G11" s="127">
        <f t="shared" si="0"/>
        <v>587</v>
      </c>
      <c r="H11" s="127">
        <f t="shared" si="0"/>
        <v>252</v>
      </c>
      <c r="I11" s="126">
        <f t="shared" si="0"/>
        <v>16</v>
      </c>
      <c r="J11" s="126">
        <f t="shared" si="0"/>
        <v>15</v>
      </c>
      <c r="K11" s="126">
        <f t="shared" si="0"/>
        <v>577</v>
      </c>
      <c r="L11" s="126">
        <f t="shared" si="0"/>
        <v>192</v>
      </c>
      <c r="M11" s="127">
        <f t="shared" si="0"/>
        <v>2307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37" t="s">
        <v>24</v>
      </c>
      <c r="D16" s="126">
        <v>61</v>
      </c>
      <c r="E16" s="126">
        <v>0</v>
      </c>
      <c r="F16" s="126">
        <v>46</v>
      </c>
      <c r="G16" s="127">
        <v>217</v>
      </c>
      <c r="H16" s="127">
        <v>80</v>
      </c>
      <c r="I16" s="127">
        <v>74</v>
      </c>
      <c r="J16" s="127">
        <v>6</v>
      </c>
      <c r="K16" s="127">
        <v>151</v>
      </c>
      <c r="L16" s="127">
        <v>2</v>
      </c>
      <c r="M16" s="127">
        <f t="shared" ref="M16:M21" si="1">SUM(D16:L16)</f>
        <v>637</v>
      </c>
    </row>
    <row r="17" spans="2:13" x14ac:dyDescent="0.3">
      <c r="C17" s="38" t="s">
        <v>25</v>
      </c>
      <c r="D17" s="126">
        <v>7</v>
      </c>
      <c r="E17" s="126">
        <v>0</v>
      </c>
      <c r="F17" s="127">
        <v>14</v>
      </c>
      <c r="G17" s="126">
        <v>73</v>
      </c>
      <c r="H17" s="126">
        <v>73</v>
      </c>
      <c r="I17" s="126">
        <v>0</v>
      </c>
      <c r="J17" s="126">
        <v>1</v>
      </c>
      <c r="K17" s="126">
        <v>59</v>
      </c>
      <c r="L17" s="126">
        <v>25</v>
      </c>
      <c r="M17" s="127">
        <f t="shared" si="1"/>
        <v>252</v>
      </c>
    </row>
    <row r="18" spans="2:13" x14ac:dyDescent="0.3">
      <c r="C18" s="38" t="s">
        <v>26</v>
      </c>
      <c r="D18" s="126">
        <v>158</v>
      </c>
      <c r="E18" s="126">
        <v>213</v>
      </c>
      <c r="F18" s="126">
        <v>316</v>
      </c>
      <c r="G18" s="126">
        <v>208</v>
      </c>
      <c r="H18" s="127">
        <v>223</v>
      </c>
      <c r="I18" s="127">
        <v>5</v>
      </c>
      <c r="J18" s="126">
        <v>64</v>
      </c>
      <c r="K18" s="126">
        <v>307</v>
      </c>
      <c r="L18" s="127">
        <v>148</v>
      </c>
      <c r="M18" s="127">
        <f t="shared" si="1"/>
        <v>1642</v>
      </c>
    </row>
    <row r="19" spans="2:13" x14ac:dyDescent="0.3">
      <c r="C19" s="38" t="s">
        <v>27</v>
      </c>
      <c r="D19" s="126">
        <f>26+47</f>
        <v>73</v>
      </c>
      <c r="E19" s="126">
        <v>46</v>
      </c>
      <c r="F19" s="126">
        <v>50</v>
      </c>
      <c r="G19" s="126">
        <v>50</v>
      </c>
      <c r="H19" s="127">
        <v>59</v>
      </c>
      <c r="I19" s="126">
        <v>50</v>
      </c>
      <c r="J19" s="126">
        <f>1+6</f>
        <v>7</v>
      </c>
      <c r="K19" s="126">
        <v>77</v>
      </c>
      <c r="L19" s="127">
        <f>27+37</f>
        <v>64</v>
      </c>
      <c r="M19" s="127">
        <f t="shared" si="1"/>
        <v>476</v>
      </c>
    </row>
    <row r="20" spans="2:13" x14ac:dyDescent="0.3">
      <c r="C20" s="38" t="s">
        <v>28</v>
      </c>
      <c r="D20" s="126">
        <f t="shared" ref="D20:E20" si="2">D59</f>
        <v>0</v>
      </c>
      <c r="E20" s="126">
        <f t="shared" si="2"/>
        <v>8</v>
      </c>
      <c r="F20" s="126">
        <f>F59</f>
        <v>29</v>
      </c>
      <c r="G20" s="126">
        <f t="shared" ref="G20:L20" si="3">G59</f>
        <v>30</v>
      </c>
      <c r="H20" s="126">
        <f t="shared" si="3"/>
        <v>30</v>
      </c>
      <c r="I20" s="126">
        <f t="shared" si="3"/>
        <v>22</v>
      </c>
      <c r="J20" s="126">
        <f t="shared" si="3"/>
        <v>6</v>
      </c>
      <c r="K20" s="126">
        <f t="shared" si="3"/>
        <v>109</v>
      </c>
      <c r="L20" s="126">
        <f t="shared" si="3"/>
        <v>23</v>
      </c>
      <c r="M20" s="127">
        <f t="shared" si="1"/>
        <v>257</v>
      </c>
    </row>
    <row r="21" spans="2:13" x14ac:dyDescent="0.3">
      <c r="C21" s="38" t="s">
        <v>12</v>
      </c>
      <c r="D21" s="127">
        <f t="shared" ref="D21:L21" si="4">SUM(D16:D20)</f>
        <v>299</v>
      </c>
      <c r="E21" s="126">
        <f t="shared" si="4"/>
        <v>267</v>
      </c>
      <c r="F21" s="127">
        <f t="shared" si="4"/>
        <v>455</v>
      </c>
      <c r="G21" s="127">
        <f t="shared" si="4"/>
        <v>578</v>
      </c>
      <c r="H21" s="127">
        <f t="shared" si="4"/>
        <v>465</v>
      </c>
      <c r="I21" s="126">
        <f t="shared" si="4"/>
        <v>151</v>
      </c>
      <c r="J21" s="126">
        <f t="shared" si="4"/>
        <v>84</v>
      </c>
      <c r="K21" s="126">
        <f t="shared" si="4"/>
        <v>703</v>
      </c>
      <c r="L21" s="126">
        <f t="shared" si="4"/>
        <v>262</v>
      </c>
      <c r="M21" s="127">
        <f t="shared" si="1"/>
        <v>3264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0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0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59">
        <v>2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59">
        <v>3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/>
      <c r="E31" s="126"/>
      <c r="F31" s="126">
        <v>5</v>
      </c>
      <c r="G31" s="127">
        <v>9</v>
      </c>
      <c r="H31" s="127">
        <v>1</v>
      </c>
      <c r="I31" s="127">
        <v>1</v>
      </c>
      <c r="J31" s="127"/>
      <c r="K31" s="127">
        <v>14</v>
      </c>
      <c r="L31" s="127">
        <v>2</v>
      </c>
      <c r="M31" s="127">
        <f t="shared" ref="M31:M58" si="5">SUM(D31:L31)</f>
        <v>32</v>
      </c>
    </row>
    <row r="32" spans="2:13" x14ac:dyDescent="0.3">
      <c r="C32" s="38" t="s">
        <v>34</v>
      </c>
      <c r="D32" s="126"/>
      <c r="E32" s="126"/>
      <c r="F32" s="127">
        <v>1</v>
      </c>
      <c r="G32" s="126">
        <v>1</v>
      </c>
      <c r="H32" s="126">
        <v>4</v>
      </c>
      <c r="I32" s="126"/>
      <c r="J32" s="126"/>
      <c r="K32" s="126">
        <v>9</v>
      </c>
      <c r="L32" s="126">
        <v>1</v>
      </c>
      <c r="M32" s="127">
        <f t="shared" si="5"/>
        <v>16</v>
      </c>
    </row>
    <row r="33" spans="3:13" x14ac:dyDescent="0.3">
      <c r="C33" s="38" t="s">
        <v>35</v>
      </c>
      <c r="D33" s="126"/>
      <c r="E33" s="126">
        <v>2</v>
      </c>
      <c r="F33" s="126">
        <v>4</v>
      </c>
      <c r="G33" s="126">
        <v>12</v>
      </c>
      <c r="H33" s="127">
        <v>9</v>
      </c>
      <c r="I33" s="127">
        <v>10</v>
      </c>
      <c r="J33" s="126">
        <v>2</v>
      </c>
      <c r="K33" s="126">
        <v>23</v>
      </c>
      <c r="L33" s="127">
        <v>4</v>
      </c>
      <c r="M33" s="127">
        <f t="shared" si="5"/>
        <v>66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5"/>
        <v>0</v>
      </c>
    </row>
    <row r="35" spans="3:13" x14ac:dyDescent="0.3">
      <c r="C35" s="38" t="s">
        <v>37</v>
      </c>
      <c r="D35" s="127"/>
      <c r="E35" s="126"/>
      <c r="F35" s="126"/>
      <c r="G35" s="126"/>
      <c r="H35" s="127"/>
      <c r="I35" s="126"/>
      <c r="J35" s="126"/>
      <c r="K35" s="126"/>
      <c r="L35" s="127"/>
      <c r="M35" s="127">
        <f t="shared" si="5"/>
        <v>0</v>
      </c>
    </row>
    <row r="36" spans="3:13" x14ac:dyDescent="0.3">
      <c r="C36" s="38" t="s">
        <v>38</v>
      </c>
      <c r="D36" s="127"/>
      <c r="E36" s="126"/>
      <c r="F36" s="127"/>
      <c r="G36" s="127"/>
      <c r="H36" s="127"/>
      <c r="I36" s="126"/>
      <c r="J36" s="126"/>
      <c r="K36" s="126">
        <v>4</v>
      </c>
      <c r="L36" s="126"/>
      <c r="M36" s="127">
        <f t="shared" si="5"/>
        <v>4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>
        <v>1</v>
      </c>
      <c r="I39" s="127"/>
      <c r="J39" s="126"/>
      <c r="K39" s="126"/>
      <c r="L39" s="127"/>
      <c r="M39" s="127">
        <f t="shared" si="5"/>
        <v>1</v>
      </c>
    </row>
    <row r="40" spans="3:13" x14ac:dyDescent="0.3">
      <c r="C40" s="38" t="s">
        <v>42</v>
      </c>
      <c r="D40" s="126"/>
      <c r="E40" s="126"/>
      <c r="F40" s="127"/>
      <c r="G40" s="127"/>
      <c r="H40" s="127"/>
      <c r="I40" s="127"/>
      <c r="J40" s="126"/>
      <c r="K40" s="126"/>
      <c r="L40" s="127"/>
      <c r="M40" s="127">
        <f t="shared" si="5"/>
        <v>0</v>
      </c>
    </row>
    <row r="41" spans="3:13" x14ac:dyDescent="0.3">
      <c r="C41" s="38" t="s">
        <v>43</v>
      </c>
      <c r="D41" s="126"/>
      <c r="E41" s="126">
        <v>1</v>
      </c>
      <c r="F41" s="127">
        <v>9</v>
      </c>
      <c r="G41" s="127"/>
      <c r="H41" s="127">
        <v>3</v>
      </c>
      <c r="I41" s="127"/>
      <c r="J41" s="126"/>
      <c r="K41" s="126">
        <v>23</v>
      </c>
      <c r="L41" s="127">
        <v>12</v>
      </c>
      <c r="M41" s="127">
        <f t="shared" si="5"/>
        <v>48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5"/>
        <v>0</v>
      </c>
    </row>
    <row r="43" spans="3:13" x14ac:dyDescent="0.3">
      <c r="C43" s="37" t="s">
        <v>45</v>
      </c>
      <c r="D43" s="126"/>
      <c r="E43" s="126"/>
      <c r="F43" s="127"/>
      <c r="G43" s="127"/>
      <c r="H43" s="127">
        <v>2</v>
      </c>
      <c r="I43" s="127">
        <v>4</v>
      </c>
      <c r="J43" s="127">
        <v>2</v>
      </c>
      <c r="K43" s="127"/>
      <c r="L43" s="127"/>
      <c r="M43" s="127">
        <f t="shared" si="5"/>
        <v>8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5"/>
        <v>0</v>
      </c>
    </row>
    <row r="48" spans="3:13" x14ac:dyDescent="0.3">
      <c r="C48" s="37" t="s">
        <v>50</v>
      </c>
      <c r="D48" s="127"/>
      <c r="E48" s="127">
        <v>1</v>
      </c>
      <c r="F48" s="127">
        <v>2</v>
      </c>
      <c r="G48" s="127"/>
      <c r="H48" s="127">
        <v>1</v>
      </c>
      <c r="I48" s="127"/>
      <c r="J48" s="127"/>
      <c r="K48" s="127">
        <v>4</v>
      </c>
      <c r="L48" s="127">
        <v>1</v>
      </c>
      <c r="M48" s="127">
        <f t="shared" si="5"/>
        <v>9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5"/>
        <v>0</v>
      </c>
    </row>
    <row r="51" spans="2:14" x14ac:dyDescent="0.3">
      <c r="C51" s="38" t="s">
        <v>53</v>
      </c>
      <c r="D51" s="127"/>
      <c r="E51" s="126">
        <v>2</v>
      </c>
      <c r="F51" s="127">
        <v>2</v>
      </c>
      <c r="G51" s="127">
        <v>4</v>
      </c>
      <c r="H51" s="127"/>
      <c r="I51" s="127">
        <v>5</v>
      </c>
      <c r="J51" s="127"/>
      <c r="K51" s="127">
        <v>19</v>
      </c>
      <c r="L51" s="127"/>
      <c r="M51" s="127">
        <f t="shared" si="5"/>
        <v>32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5"/>
        <v>0</v>
      </c>
    </row>
    <row r="53" spans="2:14" x14ac:dyDescent="0.3">
      <c r="C53" s="38" t="s">
        <v>167</v>
      </c>
      <c r="D53" s="127"/>
      <c r="E53" s="126">
        <v>1</v>
      </c>
      <c r="F53" s="127"/>
      <c r="G53" s="127"/>
      <c r="H53" s="127">
        <v>4</v>
      </c>
      <c r="I53" s="127"/>
      <c r="J53" s="127"/>
      <c r="K53" s="127">
        <v>4</v>
      </c>
      <c r="L53" s="127">
        <v>2</v>
      </c>
      <c r="M53" s="127">
        <f t="shared" si="5"/>
        <v>11</v>
      </c>
    </row>
    <row r="54" spans="2:14" x14ac:dyDescent="0.3">
      <c r="C54" s="38" t="s">
        <v>55</v>
      </c>
      <c r="D54" s="127"/>
      <c r="E54" s="126"/>
      <c r="F54" s="127">
        <v>2</v>
      </c>
      <c r="G54" s="127">
        <v>4</v>
      </c>
      <c r="H54" s="127">
        <v>4</v>
      </c>
      <c r="I54" s="127">
        <v>2</v>
      </c>
      <c r="J54" s="127">
        <v>2</v>
      </c>
      <c r="K54" s="127">
        <v>5</v>
      </c>
      <c r="L54" s="127">
        <v>1</v>
      </c>
      <c r="M54" s="127">
        <f t="shared" si="5"/>
        <v>20</v>
      </c>
    </row>
    <row r="55" spans="2:14" x14ac:dyDescent="0.3">
      <c r="C55" s="38" t="s">
        <v>56</v>
      </c>
      <c r="D55" s="126"/>
      <c r="E55" s="126"/>
      <c r="F55" s="126"/>
      <c r="G55" s="127"/>
      <c r="H55" s="126"/>
      <c r="I55" s="127"/>
      <c r="J55" s="127"/>
      <c r="K55" s="127"/>
      <c r="L55" s="127"/>
      <c r="M55" s="127">
        <f t="shared" si="5"/>
        <v>0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5"/>
        <v>0</v>
      </c>
    </row>
    <row r="57" spans="2:14" x14ac:dyDescent="0.3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5"/>
        <v>0</v>
      </c>
    </row>
    <row r="58" spans="2:14" ht="15" thickBot="1" x14ac:dyDescent="0.35">
      <c r="C58" s="118" t="s">
        <v>59</v>
      </c>
      <c r="D58" s="145"/>
      <c r="E58" s="128">
        <v>1</v>
      </c>
      <c r="F58" s="128">
        <v>4</v>
      </c>
      <c r="G58" s="128"/>
      <c r="H58" s="128">
        <v>1</v>
      </c>
      <c r="I58" s="128"/>
      <c r="J58" s="128"/>
      <c r="K58" s="128">
        <v>4</v>
      </c>
      <c r="L58" s="128"/>
      <c r="M58" s="144">
        <f t="shared" si="5"/>
        <v>10</v>
      </c>
    </row>
    <row r="59" spans="2:14" ht="15" thickTop="1" x14ac:dyDescent="0.3">
      <c r="C59" s="36" t="s">
        <v>29</v>
      </c>
      <c r="D59" s="143">
        <f t="shared" ref="D59:M59" si="6">SUM(D31:D58)</f>
        <v>0</v>
      </c>
      <c r="E59" s="143">
        <f>SUM(E31:E58)</f>
        <v>8</v>
      </c>
      <c r="F59" s="143">
        <f t="shared" si="6"/>
        <v>29</v>
      </c>
      <c r="G59" s="143">
        <f t="shared" si="6"/>
        <v>30</v>
      </c>
      <c r="H59" s="143">
        <f t="shared" si="6"/>
        <v>30</v>
      </c>
      <c r="I59" s="143">
        <f t="shared" si="6"/>
        <v>22</v>
      </c>
      <c r="J59" s="143">
        <f t="shared" si="6"/>
        <v>6</v>
      </c>
      <c r="K59" s="143">
        <f t="shared" si="6"/>
        <v>109</v>
      </c>
      <c r="L59" s="143">
        <f t="shared" si="6"/>
        <v>23</v>
      </c>
      <c r="M59" s="143">
        <f t="shared" si="6"/>
        <v>257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3358</v>
      </c>
      <c r="E64" s="125">
        <v>76</v>
      </c>
      <c r="F64" s="124">
        <v>12960</v>
      </c>
      <c r="G64" s="125">
        <v>11853</v>
      </c>
      <c r="H64" s="125">
        <v>9073</v>
      </c>
      <c r="I64" s="125">
        <v>101</v>
      </c>
      <c r="J64" s="125">
        <v>58</v>
      </c>
      <c r="K64" s="125">
        <v>11541</v>
      </c>
      <c r="L64" s="125">
        <v>1832</v>
      </c>
      <c r="M64" s="21">
        <f>SUM(D64:L64)</f>
        <v>50852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98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144</v>
      </c>
      <c r="N68" s="16"/>
    </row>
    <row r="69" spans="2:14" x14ac:dyDescent="0.3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136">
        <v>44829</v>
      </c>
      <c r="D70" s="129">
        <v>150</v>
      </c>
      <c r="E70" s="129">
        <v>993</v>
      </c>
      <c r="F70" s="135">
        <v>241</v>
      </c>
      <c r="G70" s="135">
        <v>420</v>
      </c>
      <c r="H70" s="129">
        <v>52</v>
      </c>
      <c r="I70" s="135">
        <v>4554</v>
      </c>
      <c r="J70" s="135">
        <v>14</v>
      </c>
      <c r="K70" s="129">
        <v>17</v>
      </c>
      <c r="L70" s="135">
        <v>30</v>
      </c>
      <c r="M70" s="129">
        <v>4859</v>
      </c>
      <c r="N70" s="130">
        <f>SUM(C70:M70)</f>
        <v>56159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4681</v>
      </c>
    </row>
    <row r="73" spans="2:14" x14ac:dyDescent="0.3">
      <c r="B73" s="10"/>
      <c r="C73" s="6" t="s">
        <v>264</v>
      </c>
      <c r="D73" s="7"/>
      <c r="E73" s="8">
        <v>239</v>
      </c>
      <c r="F73" s="10"/>
      <c r="G73" s="10"/>
      <c r="H73" s="12"/>
      <c r="I73" s="10"/>
      <c r="K73" s="104" t="s">
        <v>145</v>
      </c>
      <c r="L73" s="10" t="s">
        <v>147</v>
      </c>
      <c r="M73" s="10"/>
      <c r="N73">
        <v>178</v>
      </c>
    </row>
    <row r="74" spans="2:14" x14ac:dyDescent="0.3">
      <c r="C74" s="42" t="s">
        <v>79</v>
      </c>
      <c r="D74" s="43"/>
      <c r="E74" s="31">
        <v>299</v>
      </c>
      <c r="I74" s="10"/>
      <c r="K74" s="10"/>
      <c r="L74" s="10"/>
      <c r="M74" s="10"/>
    </row>
    <row r="75" spans="2:14" x14ac:dyDescent="0.3">
      <c r="C75" s="44" t="s">
        <v>82</v>
      </c>
      <c r="D75" s="47"/>
      <c r="E75" s="16">
        <v>32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6" t="s">
        <v>117</v>
      </c>
      <c r="D77" s="49"/>
      <c r="E77" s="10"/>
      <c r="I77" s="10"/>
    </row>
    <row r="78" spans="2:14" x14ac:dyDescent="0.3">
      <c r="C78" s="51" t="s">
        <v>118</v>
      </c>
      <c r="D78" s="166">
        <v>596</v>
      </c>
      <c r="E78" s="10"/>
      <c r="I78" s="10"/>
    </row>
    <row r="79" spans="2:14" x14ac:dyDescent="0.3">
      <c r="C79" s="53" t="s">
        <v>108</v>
      </c>
      <c r="D79" s="56">
        <v>862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123" t="s">
        <v>77</v>
      </c>
      <c r="D81" s="105"/>
      <c r="E81" s="8">
        <v>4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3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26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3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10" t="s">
        <v>179</v>
      </c>
      <c r="D89" s="126">
        <v>104</v>
      </c>
      <c r="E89" s="126">
        <v>1</v>
      </c>
      <c r="F89" s="126">
        <v>236</v>
      </c>
      <c r="G89" s="167">
        <v>561</v>
      </c>
      <c r="H89" s="167">
        <v>142</v>
      </c>
      <c r="I89" s="167">
        <v>0</v>
      </c>
      <c r="J89" s="167">
        <v>0</v>
      </c>
      <c r="K89" s="167">
        <v>308</v>
      </c>
      <c r="L89" s="167">
        <v>17</v>
      </c>
      <c r="M89" s="168" t="s">
        <v>126</v>
      </c>
      <c r="N89" s="119">
        <f>SUM(D89:M89)</f>
        <v>1369</v>
      </c>
    </row>
    <row r="90" spans="2:14" x14ac:dyDescent="0.3">
      <c r="B90" s="9"/>
      <c r="C90" s="12" t="s">
        <v>13</v>
      </c>
      <c r="D90" s="126">
        <v>11</v>
      </c>
      <c r="E90" s="126">
        <v>0</v>
      </c>
      <c r="F90" s="126">
        <v>19</v>
      </c>
      <c r="G90" s="167">
        <v>94</v>
      </c>
      <c r="H90" s="167">
        <v>13</v>
      </c>
      <c r="I90" s="167">
        <v>0</v>
      </c>
      <c r="J90" s="167">
        <v>0</v>
      </c>
      <c r="K90" s="167">
        <v>60</v>
      </c>
      <c r="L90" s="167">
        <v>10</v>
      </c>
      <c r="M90" s="167">
        <v>5</v>
      </c>
      <c r="N90" s="119">
        <f>SUM(D90:M90)</f>
        <v>212</v>
      </c>
    </row>
    <row r="91" spans="2:14" ht="15" thickBot="1" x14ac:dyDescent="0.35">
      <c r="B91" s="9"/>
      <c r="C91" s="12" t="s">
        <v>14</v>
      </c>
      <c r="D91" s="128">
        <v>0</v>
      </c>
      <c r="E91" s="128">
        <v>1</v>
      </c>
      <c r="F91" s="128">
        <v>67</v>
      </c>
      <c r="G91" s="128">
        <v>27</v>
      </c>
      <c r="H91" s="128">
        <v>21</v>
      </c>
      <c r="I91" s="128">
        <v>0</v>
      </c>
      <c r="J91" s="128">
        <v>0</v>
      </c>
      <c r="K91" s="128">
        <v>52</v>
      </c>
      <c r="L91" s="128">
        <v>52</v>
      </c>
      <c r="M91" s="169" t="s">
        <v>126</v>
      </c>
      <c r="N91" s="120">
        <f>SUM(D91:L91)</f>
        <v>220</v>
      </c>
    </row>
    <row r="92" spans="2:14" ht="15" thickTop="1" x14ac:dyDescent="0.3">
      <c r="B92" s="13"/>
      <c r="C92" s="14" t="s">
        <v>12</v>
      </c>
      <c r="D92" s="143">
        <f>SUM(D89:D91)</f>
        <v>115</v>
      </c>
      <c r="E92" s="143">
        <f t="shared" ref="E92:K92" si="7">SUM(E89,E91)</f>
        <v>2</v>
      </c>
      <c r="F92" s="143">
        <f t="shared" si="7"/>
        <v>303</v>
      </c>
      <c r="G92" s="143">
        <f t="shared" si="7"/>
        <v>588</v>
      </c>
      <c r="H92" s="143">
        <f t="shared" si="7"/>
        <v>163</v>
      </c>
      <c r="I92" s="143">
        <f t="shared" si="7"/>
        <v>0</v>
      </c>
      <c r="J92" s="143">
        <f t="shared" si="7"/>
        <v>0</v>
      </c>
      <c r="K92" s="143">
        <f t="shared" si="7"/>
        <v>360</v>
      </c>
      <c r="L92" s="143">
        <f>SUM(L89,L91)</f>
        <v>69</v>
      </c>
      <c r="M92" s="143">
        <f>SUM(M89:M91)</f>
        <v>5</v>
      </c>
      <c r="N92" s="170">
        <f>SUM(N89:N91)</f>
        <v>1801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2</v>
      </c>
      <c r="E95" s="126">
        <v>1</v>
      </c>
      <c r="F95" s="126">
        <v>5</v>
      </c>
      <c r="G95" s="150">
        <v>33</v>
      </c>
      <c r="H95" s="150">
        <v>3</v>
      </c>
      <c r="I95" s="150">
        <v>0</v>
      </c>
      <c r="J95" s="150">
        <v>0</v>
      </c>
      <c r="K95" s="150">
        <v>10</v>
      </c>
      <c r="L95" s="150">
        <v>3</v>
      </c>
      <c r="M95" s="150">
        <f>SUM(D95:L95)</f>
        <v>57</v>
      </c>
      <c r="N95" s="10"/>
    </row>
    <row r="96" spans="2:14" ht="15" thickBot="1" x14ac:dyDescent="0.35">
      <c r="B96" s="365" t="s">
        <v>177</v>
      </c>
      <c r="C96" s="380"/>
      <c r="D96" s="128">
        <v>0</v>
      </c>
      <c r="E96" s="128">
        <v>0</v>
      </c>
      <c r="F96" s="128">
        <v>0</v>
      </c>
      <c r="G96" s="174">
        <v>57</v>
      </c>
      <c r="H96" s="174">
        <v>4</v>
      </c>
      <c r="I96" s="174">
        <v>16</v>
      </c>
      <c r="J96" s="174"/>
      <c r="K96" s="174">
        <v>380</v>
      </c>
      <c r="L96" s="174">
        <v>0</v>
      </c>
      <c r="M96" s="174">
        <f>SUM(D96:L96)</f>
        <v>457</v>
      </c>
      <c r="N96" s="10"/>
    </row>
    <row r="97" spans="1:15" ht="15" thickTop="1" x14ac:dyDescent="0.3">
      <c r="B97" s="28"/>
      <c r="C97" s="190" t="s">
        <v>29</v>
      </c>
      <c r="D97" s="171">
        <f t="shared" ref="D97:M97" si="8">SUM(D95:D96)</f>
        <v>2</v>
      </c>
      <c r="E97" s="171">
        <f t="shared" si="8"/>
        <v>1</v>
      </c>
      <c r="F97" s="171">
        <f t="shared" si="8"/>
        <v>5</v>
      </c>
      <c r="G97" s="171">
        <f t="shared" si="8"/>
        <v>90</v>
      </c>
      <c r="H97" s="171">
        <f t="shared" si="8"/>
        <v>7</v>
      </c>
      <c r="I97" s="172">
        <f t="shared" si="8"/>
        <v>16</v>
      </c>
      <c r="J97" s="171">
        <f t="shared" si="8"/>
        <v>0</v>
      </c>
      <c r="K97" s="171">
        <f t="shared" si="8"/>
        <v>390</v>
      </c>
      <c r="L97" s="171">
        <f t="shared" si="8"/>
        <v>3</v>
      </c>
      <c r="M97" s="173">
        <f t="shared" si="8"/>
        <v>514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43">
        <v>0</v>
      </c>
      <c r="E99" s="143">
        <v>0</v>
      </c>
      <c r="F99" s="143">
        <v>0</v>
      </c>
      <c r="G99" s="151">
        <v>8</v>
      </c>
      <c r="H99" s="151">
        <v>0</v>
      </c>
      <c r="I99" s="151">
        <v>0</v>
      </c>
      <c r="J99" s="151">
        <v>0</v>
      </c>
      <c r="K99" s="151">
        <v>49</v>
      </c>
      <c r="L99" s="151">
        <v>0</v>
      </c>
      <c r="M99" s="151">
        <f>SUM(D99:L99)</f>
        <v>57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1:15" x14ac:dyDescent="0.3">
      <c r="B104" s="374" t="s">
        <v>23</v>
      </c>
      <c r="C104" s="375"/>
      <c r="D104" s="131">
        <v>16.5</v>
      </c>
      <c r="E104" s="131">
        <v>0</v>
      </c>
      <c r="F104" s="131">
        <v>66.95</v>
      </c>
      <c r="G104" s="131">
        <v>37.5</v>
      </c>
      <c r="H104" s="131">
        <v>11.5</v>
      </c>
      <c r="I104" s="131">
        <v>0</v>
      </c>
      <c r="J104" s="131">
        <v>0</v>
      </c>
      <c r="K104" s="131">
        <v>15.75</v>
      </c>
      <c r="L104" s="131">
        <v>1.75</v>
      </c>
      <c r="M104" s="132">
        <v>15</v>
      </c>
      <c r="N104" s="133">
        <f>SUM(D104:M104)</f>
        <v>164.95</v>
      </c>
    </row>
    <row r="105" spans="1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6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30">
        <v>861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30">
        <v>181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30">
        <v>21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30">
        <v>12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6">
        <v>0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31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34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0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566+108</f>
        <v>674</v>
      </c>
    </row>
    <row r="120" spans="2:14" x14ac:dyDescent="0.3">
      <c r="C120" s="9" t="s">
        <v>20</v>
      </c>
      <c r="D120" s="10"/>
      <c r="E120" s="137">
        <f>170+69</f>
        <v>239</v>
      </c>
    </row>
    <row r="121" spans="2:14" x14ac:dyDescent="0.3">
      <c r="C121" s="9" t="s">
        <v>19</v>
      </c>
      <c r="D121" s="10"/>
      <c r="E121" s="137">
        <v>28</v>
      </c>
    </row>
    <row r="122" spans="2:14" x14ac:dyDescent="0.3">
      <c r="C122" s="9" t="s">
        <v>93</v>
      </c>
      <c r="D122" s="10"/>
      <c r="E122" s="137">
        <f>452+22</f>
        <v>474</v>
      </c>
    </row>
    <row r="123" spans="2:14" x14ac:dyDescent="0.3">
      <c r="C123" s="13" t="s">
        <v>96</v>
      </c>
      <c r="D123" s="15"/>
      <c r="E123" s="138">
        <v>0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v>6</v>
      </c>
    </row>
    <row r="127" spans="2:14" x14ac:dyDescent="0.3">
      <c r="C127" s="51" t="s">
        <v>88</v>
      </c>
      <c r="D127" s="10"/>
      <c r="E127" s="137">
        <v>3</v>
      </c>
    </row>
    <row r="128" spans="2:14" x14ac:dyDescent="0.3">
      <c r="C128" s="51" t="s">
        <v>90</v>
      </c>
      <c r="D128" s="10"/>
      <c r="E128" s="137">
        <f>63+1+15</f>
        <v>79</v>
      </c>
    </row>
    <row r="129" spans="3:15" x14ac:dyDescent="0.3">
      <c r="C129" s="51" t="s">
        <v>92</v>
      </c>
      <c r="D129" s="12"/>
      <c r="E129" s="137">
        <f>988+78+1</f>
        <v>1067</v>
      </c>
    </row>
    <row r="130" spans="3:15" x14ac:dyDescent="0.3">
      <c r="C130" s="51" t="s">
        <v>95</v>
      </c>
      <c r="D130" s="12"/>
      <c r="E130" s="137">
        <f>45+10+7+1</f>
        <v>63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v>13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v>22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51" t="s">
        <v>100</v>
      </c>
      <c r="D133" s="10"/>
      <c r="E133" s="137">
        <v>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>
        <v>1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>
        <v>1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>
        <v>0</v>
      </c>
    </row>
    <row r="137" spans="3:15" x14ac:dyDescent="0.3">
      <c r="C137" s="50" t="s">
        <v>25</v>
      </c>
      <c r="D137" s="10"/>
      <c r="E137" s="139">
        <v>22</v>
      </c>
    </row>
    <row r="138" spans="3:15" x14ac:dyDescent="0.3">
      <c r="C138" s="50" t="s">
        <v>149</v>
      </c>
      <c r="D138" s="10"/>
      <c r="E138" s="139">
        <v>2</v>
      </c>
    </row>
    <row r="139" spans="3:15" x14ac:dyDescent="0.3">
      <c r="C139" s="52" t="s">
        <v>26</v>
      </c>
      <c r="D139" s="15"/>
      <c r="E139" s="138">
        <f>336+127+169</f>
        <v>632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191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0</v>
      </c>
      <c r="F144" s="126">
        <v>1</v>
      </c>
      <c r="G144" s="157">
        <f>SUM(E144:F144)</f>
        <v>1</v>
      </c>
    </row>
    <row r="145" spans="2:14" x14ac:dyDescent="0.3">
      <c r="C145" s="199" t="s">
        <v>13</v>
      </c>
      <c r="D145" s="163"/>
      <c r="E145" s="126">
        <v>0</v>
      </c>
      <c r="F145" s="126" t="s">
        <v>126</v>
      </c>
      <c r="G145" s="157">
        <f>SUM(E145:F145)</f>
        <v>0</v>
      </c>
    </row>
    <row r="146" spans="2:14" x14ac:dyDescent="0.3">
      <c r="C146" s="199" t="s">
        <v>122</v>
      </c>
      <c r="D146" s="163"/>
      <c r="E146" s="126">
        <v>0</v>
      </c>
      <c r="F146" s="126">
        <v>0</v>
      </c>
      <c r="G146" s="157">
        <f>SUM(E146:F146)</f>
        <v>0</v>
      </c>
    </row>
    <row r="147" spans="2:14" x14ac:dyDescent="0.3">
      <c r="C147" s="158" t="s">
        <v>124</v>
      </c>
      <c r="D147" s="162"/>
      <c r="E147" s="127">
        <v>21</v>
      </c>
      <c r="F147" s="127">
        <v>0</v>
      </c>
      <c r="G147" s="157">
        <f>SUM(E147:F147)</f>
        <v>21</v>
      </c>
      <c r="L147" s="10"/>
      <c r="M147" s="29"/>
    </row>
    <row r="148" spans="2:14" x14ac:dyDescent="0.3">
      <c r="C148" s="159" t="s">
        <v>13</v>
      </c>
      <c r="D148" s="158"/>
      <c r="E148" s="127">
        <v>5</v>
      </c>
      <c r="F148" s="127" t="s">
        <v>126</v>
      </c>
      <c r="G148" s="157">
        <f>SUM(E148:F148)</f>
        <v>5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55.8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115" t="s">
        <v>153</v>
      </c>
    </row>
    <row r="152" spans="2:14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4.75" customHeight="1" x14ac:dyDescent="0.3">
      <c r="B153" s="399"/>
      <c r="C153" s="400"/>
      <c r="D153" s="385"/>
      <c r="E153" s="386"/>
      <c r="F153" s="106"/>
    </row>
    <row r="154" spans="2:14" ht="24.75" customHeight="1" x14ac:dyDescent="0.3">
      <c r="B154" s="372" t="s">
        <v>169</v>
      </c>
      <c r="C154" s="373"/>
      <c r="D154" s="370">
        <v>561</v>
      </c>
      <c r="E154" s="371"/>
      <c r="F154" s="107"/>
    </row>
    <row r="155" spans="2:14" ht="27.75" customHeight="1" x14ac:dyDescent="0.3">
      <c r="B155" s="372" t="s">
        <v>183</v>
      </c>
      <c r="C155" s="373"/>
      <c r="D155" s="370">
        <v>2819</v>
      </c>
      <c r="E155" s="371"/>
      <c r="F155" s="107"/>
    </row>
    <row r="156" spans="2:14" x14ac:dyDescent="0.3">
      <c r="B156" s="372" t="s">
        <v>154</v>
      </c>
      <c r="C156" s="373"/>
      <c r="D156" s="370">
        <v>6882</v>
      </c>
      <c r="E156" s="371"/>
      <c r="F156" s="107"/>
    </row>
    <row r="157" spans="2:14" x14ac:dyDescent="0.3">
      <c r="B157" s="372" t="s">
        <v>155</v>
      </c>
      <c r="C157" s="373"/>
      <c r="D157" s="370">
        <v>418</v>
      </c>
      <c r="E157" s="371"/>
      <c r="F157" s="107"/>
    </row>
    <row r="158" spans="2:14" x14ac:dyDescent="0.3">
      <c r="B158" s="372" t="s">
        <v>156</v>
      </c>
      <c r="C158" s="373"/>
      <c r="D158" s="370">
        <v>7440</v>
      </c>
      <c r="E158" s="371"/>
      <c r="F158" s="107"/>
    </row>
    <row r="159" spans="2:14" x14ac:dyDescent="0.3">
      <c r="B159" s="372" t="s">
        <v>123</v>
      </c>
      <c r="C159" s="373"/>
      <c r="D159" s="370">
        <v>538</v>
      </c>
      <c r="E159" s="371"/>
      <c r="F159" s="107"/>
    </row>
    <row r="160" spans="2:14" x14ac:dyDescent="0.3">
      <c r="B160" s="372" t="s">
        <v>125</v>
      </c>
      <c r="C160" s="373"/>
      <c r="D160" s="370">
        <v>278</v>
      </c>
      <c r="E160" s="371"/>
      <c r="F160" s="107"/>
    </row>
    <row r="161" spans="2:15" x14ac:dyDescent="0.3">
      <c r="B161" s="372" t="s">
        <v>110</v>
      </c>
      <c r="C161" s="373"/>
      <c r="D161" s="370">
        <v>17</v>
      </c>
      <c r="E161" s="371"/>
      <c r="F161" s="107">
        <v>11</v>
      </c>
    </row>
    <row r="162" spans="2:15" x14ac:dyDescent="0.3">
      <c r="B162" s="372" t="s">
        <v>157</v>
      </c>
      <c r="C162" s="373"/>
      <c r="D162" s="370">
        <v>543</v>
      </c>
      <c r="E162" s="371"/>
      <c r="F162" s="107"/>
    </row>
    <row r="163" spans="2:15" ht="27.75" customHeight="1" x14ac:dyDescent="0.3">
      <c r="B163" s="372" t="s">
        <v>128</v>
      </c>
      <c r="C163" s="373"/>
      <c r="D163" s="370">
        <v>132</v>
      </c>
      <c r="E163" s="371"/>
      <c r="F163" s="107"/>
    </row>
    <row r="164" spans="2:15" ht="24.75" customHeight="1" x14ac:dyDescent="0.3">
      <c r="B164" s="395" t="s">
        <v>158</v>
      </c>
      <c r="C164" s="396"/>
      <c r="D164" s="353">
        <v>259</v>
      </c>
      <c r="E164" s="354"/>
      <c r="F164" s="108"/>
    </row>
    <row r="165" spans="2:15" ht="26.25" customHeight="1" x14ac:dyDescent="0.3">
      <c r="B165" s="395" t="s">
        <v>159</v>
      </c>
      <c r="C165" s="396"/>
      <c r="D165" s="353">
        <v>2677</v>
      </c>
      <c r="E165" s="354"/>
      <c r="F165" s="108"/>
    </row>
    <row r="166" spans="2:15" ht="24.75" customHeight="1" x14ac:dyDescent="0.3">
      <c r="B166" s="397" t="s">
        <v>160</v>
      </c>
      <c r="C166" s="398"/>
      <c r="D166" s="355">
        <v>587</v>
      </c>
      <c r="E166" s="356"/>
      <c r="F166" s="109"/>
    </row>
    <row r="167" spans="2:15" ht="27" customHeight="1" x14ac:dyDescent="0.3">
      <c r="B167" s="387" t="s">
        <v>161</v>
      </c>
      <c r="C167" s="388"/>
      <c r="D167" s="357">
        <v>444</v>
      </c>
      <c r="E167" s="358"/>
      <c r="F167" s="110"/>
    </row>
    <row r="168" spans="2:15" ht="23.25" customHeight="1" x14ac:dyDescent="0.3">
      <c r="B168" s="387" t="s">
        <v>162</v>
      </c>
      <c r="C168" s="388"/>
      <c r="D168" s="357">
        <v>747</v>
      </c>
      <c r="E168" s="358"/>
      <c r="F168" s="110"/>
    </row>
    <row r="169" spans="2:15" ht="24.75" customHeight="1" x14ac:dyDescent="0.3">
      <c r="B169" s="389" t="s">
        <v>163</v>
      </c>
      <c r="C169" s="390"/>
      <c r="D169" s="359">
        <v>2166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127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359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162</v>
      </c>
    </row>
    <row r="174" spans="2:15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5" ht="15" thickTop="1" x14ac:dyDescent="0.3">
      <c r="B175" s="164" t="s">
        <v>166</v>
      </c>
      <c r="C175" s="165"/>
      <c r="D175" s="343">
        <f>SUM(D152:D174)</f>
        <v>26994</v>
      </c>
      <c r="E175" s="344"/>
      <c r="F175" s="184">
        <f>SUM(F152:F174)</f>
        <v>173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6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26">
        <v>17</v>
      </c>
      <c r="F178" s="337">
        <v>11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v>7440</v>
      </c>
      <c r="F181" s="126"/>
      <c r="I181" s="29"/>
      <c r="J181" s="29"/>
      <c r="K181" s="54"/>
      <c r="L181" s="54"/>
      <c r="M181" s="58"/>
    </row>
    <row r="182" spans="2:14" x14ac:dyDescent="0.3">
      <c r="C182" s="345" t="s">
        <v>114</v>
      </c>
      <c r="D182" s="346"/>
      <c r="E182" s="126">
        <v>6882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359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41</v>
      </c>
      <c r="E187" s="143">
        <v>42</v>
      </c>
      <c r="F187" s="143">
        <v>398</v>
      </c>
      <c r="G187" s="177">
        <v>225</v>
      </c>
      <c r="H187" s="177">
        <v>174</v>
      </c>
      <c r="I187" s="177">
        <v>1</v>
      </c>
      <c r="J187" s="177">
        <v>83</v>
      </c>
      <c r="K187" s="177">
        <v>208</v>
      </c>
      <c r="L187" s="177">
        <v>230</v>
      </c>
      <c r="M187" s="177">
        <f>SUM(D187:L187)</f>
        <v>1402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82</v>
      </c>
      <c r="H188" s="126" t="s">
        <v>126</v>
      </c>
      <c r="I188" s="126" t="s">
        <v>126</v>
      </c>
      <c r="J188" s="126" t="s">
        <v>126</v>
      </c>
      <c r="K188" s="126">
        <v>184</v>
      </c>
      <c r="L188" s="126">
        <v>37</v>
      </c>
      <c r="M188" s="127">
        <f>SUM(D188:L188)</f>
        <v>303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0</v>
      </c>
      <c r="G189" s="128">
        <v>0</v>
      </c>
      <c r="H189" s="144">
        <v>0</v>
      </c>
      <c r="I189" s="144">
        <v>1</v>
      </c>
      <c r="J189" s="128">
        <v>0</v>
      </c>
      <c r="K189" s="128">
        <v>0</v>
      </c>
      <c r="L189" s="144">
        <v>37</v>
      </c>
      <c r="M189" s="144">
        <f>SUM(D189:L189)</f>
        <v>38</v>
      </c>
    </row>
    <row r="190" spans="2:14" ht="15" thickTop="1" x14ac:dyDescent="0.3">
      <c r="C190" s="38" t="s">
        <v>12</v>
      </c>
      <c r="D190" s="143">
        <f>SUM(D187:D189)</f>
        <v>41</v>
      </c>
      <c r="E190" s="143">
        <f>SUM(E187:E189)</f>
        <v>42</v>
      </c>
      <c r="F190" s="143">
        <f t="shared" ref="F190:L190" si="9">SUM(F187:F189)</f>
        <v>398</v>
      </c>
      <c r="G190" s="143">
        <f t="shared" si="9"/>
        <v>307</v>
      </c>
      <c r="H190" s="177">
        <f t="shared" si="9"/>
        <v>174</v>
      </c>
      <c r="I190" s="143">
        <f t="shared" si="9"/>
        <v>2</v>
      </c>
      <c r="J190" s="143">
        <f t="shared" si="9"/>
        <v>83</v>
      </c>
      <c r="K190" s="143">
        <f t="shared" si="9"/>
        <v>392</v>
      </c>
      <c r="L190" s="177">
        <f t="shared" si="9"/>
        <v>304</v>
      </c>
      <c r="M190" s="177">
        <f>SUM(M187:M189)</f>
        <v>1743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s="68" t="s">
        <v>267</v>
      </c>
      <c r="D196" s="22"/>
      <c r="E196" s="22"/>
      <c r="F196" s="22"/>
      <c r="G196" s="69"/>
      <c r="H196" s="70" t="s">
        <v>310</v>
      </c>
      <c r="I196" s="71"/>
      <c r="J196" s="72"/>
      <c r="K196" s="73"/>
      <c r="L196" s="74"/>
      <c r="M196" s="74"/>
      <c r="N196" s="75"/>
    </row>
    <row r="197" spans="2:14" x14ac:dyDescent="0.3">
      <c r="B197" s="81"/>
      <c r="C197" s="22" t="s">
        <v>268</v>
      </c>
      <c r="D197" s="22"/>
      <c r="E197" s="22"/>
      <c r="F197" s="22"/>
      <c r="G197" s="72"/>
      <c r="H197" s="70"/>
      <c r="I197" s="72"/>
      <c r="J197" s="72"/>
      <c r="K197" s="72"/>
      <c r="L197" s="76"/>
      <c r="M197" s="76"/>
      <c r="N197" s="77"/>
    </row>
    <row r="198" spans="2:14" x14ac:dyDescent="0.3">
      <c r="B198" s="9"/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3">
      <c r="B199" s="78" t="s">
        <v>136</v>
      </c>
      <c r="C199" s="10"/>
      <c r="D199" s="10"/>
      <c r="E199" s="10"/>
      <c r="F199" s="10"/>
      <c r="G199" s="10"/>
      <c r="H199" s="79" t="s">
        <v>95</v>
      </c>
      <c r="I199" s="10"/>
      <c r="J199" s="10"/>
      <c r="K199" s="10"/>
      <c r="L199" s="10"/>
      <c r="M199" s="10"/>
      <c r="N199" s="30"/>
    </row>
    <row r="200" spans="2:14" ht="17.399999999999999" x14ac:dyDescent="0.3">
      <c r="B200" s="80" t="s">
        <v>279</v>
      </c>
      <c r="C200" s="82"/>
      <c r="D200" s="22"/>
      <c r="E200" s="22"/>
      <c r="F200" s="22"/>
      <c r="G200" s="72"/>
      <c r="I200" s="72"/>
      <c r="J200" s="71"/>
      <c r="K200" s="83"/>
      <c r="L200" s="22"/>
      <c r="M200" s="22"/>
      <c r="N200" s="84"/>
    </row>
    <row r="201" spans="2:14" ht="17.399999999999999" x14ac:dyDescent="0.3">
      <c r="B201" s="81" t="s">
        <v>281</v>
      </c>
      <c r="C201" s="22"/>
      <c r="D201" s="22"/>
      <c r="E201" s="22"/>
      <c r="F201" s="22"/>
      <c r="G201" s="72"/>
      <c r="I201" s="71"/>
      <c r="J201" s="72"/>
      <c r="K201" s="72"/>
      <c r="L201" s="22"/>
      <c r="M201" s="22"/>
      <c r="N201" s="84"/>
    </row>
    <row r="202" spans="2:14" ht="17.399999999999999" x14ac:dyDescent="0.3">
      <c r="B202" s="80" t="s">
        <v>271</v>
      </c>
      <c r="C202" s="82"/>
      <c r="D202" s="22"/>
      <c r="E202" s="22"/>
      <c r="F202" s="22"/>
      <c r="G202" s="22"/>
      <c r="I202" s="71"/>
      <c r="J202" s="71"/>
      <c r="K202" s="71"/>
      <c r="L202" s="71"/>
      <c r="M202" s="22"/>
      <c r="N202" s="84"/>
    </row>
    <row r="203" spans="2:14" x14ac:dyDescent="0.3">
      <c r="B203" s="80"/>
      <c r="C203" s="22" t="s">
        <v>270</v>
      </c>
      <c r="D203" s="79"/>
      <c r="E203" s="22"/>
      <c r="F203" s="79"/>
      <c r="G203" s="86"/>
      <c r="H203" s="200"/>
      <c r="I203" s="10"/>
      <c r="J203" s="72"/>
      <c r="K203" s="72"/>
      <c r="L203" s="22"/>
      <c r="M203" s="22"/>
      <c r="N203" s="84"/>
    </row>
    <row r="204" spans="2:14" x14ac:dyDescent="0.3">
      <c r="B204" s="81" t="s">
        <v>273</v>
      </c>
      <c r="C204" s="22"/>
      <c r="D204" s="22"/>
      <c r="E204" s="22"/>
      <c r="F204" s="22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3">
      <c r="B205" s="81" t="s">
        <v>274</v>
      </c>
      <c r="C205" s="22"/>
      <c r="D205" s="22"/>
      <c r="E205" s="22"/>
      <c r="F205" s="22"/>
      <c r="G205" s="86"/>
      <c r="H205" s="79" t="s">
        <v>168</v>
      </c>
      <c r="L205" s="22"/>
      <c r="M205" s="22"/>
      <c r="N205" s="84"/>
    </row>
    <row r="206" spans="2:14" ht="17.399999999999999" x14ac:dyDescent="0.3">
      <c r="B206" s="81" t="s">
        <v>278</v>
      </c>
      <c r="C206" s="10"/>
      <c r="D206" s="10"/>
      <c r="E206" s="10"/>
      <c r="F206" s="10"/>
      <c r="G206" s="69"/>
      <c r="H206" s="85" t="s">
        <v>276</v>
      </c>
      <c r="I206" s="10"/>
      <c r="J206" s="71"/>
      <c r="K206" s="71"/>
      <c r="L206" s="22"/>
      <c r="M206" s="22"/>
      <c r="N206" s="84"/>
    </row>
    <row r="207" spans="2:14" x14ac:dyDescent="0.3">
      <c r="B207" s="9"/>
      <c r="C207" s="22" t="s">
        <v>277</v>
      </c>
      <c r="D207" s="22"/>
      <c r="E207" s="22"/>
      <c r="F207" s="22"/>
      <c r="G207" s="69"/>
      <c r="H207" s="219"/>
      <c r="I207" s="10" t="s">
        <v>275</v>
      </c>
      <c r="J207" s="72"/>
      <c r="K207" s="72"/>
      <c r="L207" s="76"/>
      <c r="M207" s="76"/>
      <c r="N207" s="77"/>
    </row>
    <row r="208" spans="2:14" x14ac:dyDescent="0.3">
      <c r="B208" s="87" t="s">
        <v>28</v>
      </c>
      <c r="C208" s="22"/>
      <c r="D208" s="22"/>
      <c r="E208" s="22"/>
      <c r="F208" s="22"/>
      <c r="G208" s="69"/>
      <c r="I208" s="10"/>
      <c r="J208" s="72"/>
      <c r="L208" s="76"/>
      <c r="M208" s="76"/>
      <c r="N208" s="77"/>
    </row>
    <row r="209" spans="2:14" x14ac:dyDescent="0.3">
      <c r="B209" s="117"/>
      <c r="C209" s="22"/>
      <c r="D209" s="22"/>
      <c r="E209" s="22"/>
      <c r="F209" s="22"/>
      <c r="G209" s="69"/>
      <c r="H209" s="88" t="s">
        <v>138</v>
      </c>
      <c r="I209" s="10"/>
      <c r="J209" s="72"/>
      <c r="K209" s="72"/>
      <c r="L209" s="76"/>
      <c r="M209" s="76"/>
      <c r="N209" s="77"/>
    </row>
    <row r="210" spans="2:14" ht="17.399999999999999" x14ac:dyDescent="0.3">
      <c r="B210" s="202"/>
      <c r="C210" s="22"/>
      <c r="D210" s="22"/>
      <c r="E210" s="22"/>
      <c r="F210" s="22"/>
      <c r="G210" s="69"/>
      <c r="H210" s="70" t="s">
        <v>272</v>
      </c>
      <c r="I210" s="10"/>
      <c r="J210" s="71"/>
      <c r="K210" s="71"/>
      <c r="L210" s="76"/>
      <c r="M210" s="76"/>
      <c r="N210" s="77"/>
    </row>
    <row r="211" spans="2:14" x14ac:dyDescent="0.3">
      <c r="B211" s="9"/>
      <c r="C211" s="22"/>
      <c r="D211" s="22"/>
      <c r="E211" s="10"/>
      <c r="F211" s="10"/>
      <c r="G211" s="10"/>
      <c r="H211" s="70" t="s">
        <v>280</v>
      </c>
      <c r="I211" s="10"/>
      <c r="J211" s="10"/>
      <c r="K211" s="10"/>
      <c r="L211" s="10"/>
      <c r="M211" s="10"/>
      <c r="N211" s="30"/>
    </row>
    <row r="212" spans="2:14" x14ac:dyDescent="0.3">
      <c r="B212" s="87" t="s">
        <v>137</v>
      </c>
      <c r="C212" s="22"/>
      <c r="D212" s="22"/>
      <c r="E212" s="22"/>
      <c r="F212" s="22"/>
      <c r="G212" s="69"/>
      <c r="H212" s="85"/>
      <c r="I212" s="10"/>
      <c r="J212" s="10"/>
      <c r="K212" s="10"/>
      <c r="L212" s="76"/>
      <c r="M212" s="76"/>
      <c r="N212" s="77"/>
    </row>
    <row r="213" spans="2:14" x14ac:dyDescent="0.3">
      <c r="B213" s="81" t="s">
        <v>269</v>
      </c>
      <c r="C213" s="79"/>
      <c r="D213" s="79"/>
      <c r="E213" s="22"/>
      <c r="F213" s="22"/>
      <c r="G213" s="69"/>
      <c r="H213" s="85"/>
      <c r="I213" s="10"/>
      <c r="J213" s="72"/>
      <c r="K213" s="72"/>
      <c r="L213" s="76"/>
      <c r="M213" s="76"/>
      <c r="N213" s="77"/>
    </row>
    <row r="214" spans="2:14" x14ac:dyDescent="0.3">
      <c r="B214" s="81" t="s">
        <v>282</v>
      </c>
      <c r="C214" s="22"/>
      <c r="D214" s="22"/>
      <c r="E214" s="22"/>
      <c r="F214" s="82"/>
      <c r="G214" s="22"/>
      <c r="H214" s="89"/>
      <c r="I214" s="10"/>
      <c r="J214" s="22"/>
      <c r="K214" s="72"/>
      <c r="L214" s="10"/>
      <c r="M214" s="10"/>
      <c r="N214" s="30"/>
    </row>
    <row r="215" spans="2:14" ht="17.399999999999999" x14ac:dyDescent="0.3">
      <c r="B215" s="117"/>
      <c r="C215" s="22" t="s">
        <v>283</v>
      </c>
      <c r="D215" s="22"/>
      <c r="E215" s="22"/>
      <c r="F215" s="22"/>
      <c r="G215" s="69"/>
      <c r="H215" s="85"/>
      <c r="I215" s="10"/>
      <c r="J215" s="71"/>
      <c r="K215" s="71"/>
      <c r="L215" s="22"/>
      <c r="M215" s="22"/>
      <c r="N215" s="84"/>
    </row>
    <row r="216" spans="2:14" ht="17.399999999999999" x14ac:dyDescent="0.3">
      <c r="B216" s="80" t="s">
        <v>284</v>
      </c>
      <c r="C216" s="22"/>
      <c r="D216" s="22"/>
      <c r="E216" s="22"/>
      <c r="F216" s="82"/>
      <c r="G216" s="72"/>
      <c r="H216" s="85"/>
      <c r="I216" s="73"/>
      <c r="J216" s="72"/>
      <c r="K216" s="73"/>
      <c r="L216" s="74"/>
      <c r="M216" s="74"/>
      <c r="N216" s="84"/>
    </row>
    <row r="217" spans="2:14" ht="17.399999999999999" x14ac:dyDescent="0.3">
      <c r="B217" s="90"/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3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2"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D166:E166"/>
    <mergeCell ref="B161:C161"/>
    <mergeCell ref="D161:E161"/>
    <mergeCell ref="B162:C162"/>
    <mergeCell ref="D162:E162"/>
    <mergeCell ref="B163:C163"/>
    <mergeCell ref="D163:E16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G152:I152"/>
    <mergeCell ref="F178:G178"/>
    <mergeCell ref="C181:D181"/>
    <mergeCell ref="C182:D182"/>
    <mergeCell ref="C183:D183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</mergeCells>
  <pageMargins left="0.7" right="0.7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0"/>
  <sheetViews>
    <sheetView topLeftCell="A74" workbookViewId="0">
      <selection activeCell="E60" sqref="E60"/>
    </sheetView>
  </sheetViews>
  <sheetFormatPr defaultRowHeight="14.4" x14ac:dyDescent="0.3"/>
  <cols>
    <col min="7" max="7" width="10.44140625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 t="s">
        <v>192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37" t="s">
        <v>17</v>
      </c>
      <c r="D6" s="126">
        <v>70</v>
      </c>
      <c r="E6" s="126">
        <v>0</v>
      </c>
      <c r="F6" s="126">
        <v>145</v>
      </c>
      <c r="G6" s="127">
        <v>262</v>
      </c>
      <c r="H6" s="127">
        <v>75</v>
      </c>
      <c r="I6" s="127">
        <v>1</v>
      </c>
      <c r="J6" s="127">
        <v>4</v>
      </c>
      <c r="K6" s="127">
        <v>79</v>
      </c>
      <c r="L6" s="127">
        <v>58</v>
      </c>
      <c r="M6" s="127">
        <f>SUM(D6:L6)</f>
        <v>694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11</v>
      </c>
      <c r="H8" s="127">
        <v>18</v>
      </c>
      <c r="I8" s="127">
        <v>1</v>
      </c>
      <c r="J8" s="126">
        <v>0</v>
      </c>
      <c r="K8" s="126">
        <v>23</v>
      </c>
      <c r="L8" s="127">
        <v>0</v>
      </c>
      <c r="M8" s="127">
        <f>SUM(D8:L8)</f>
        <v>73</v>
      </c>
    </row>
    <row r="9" spans="2:15" x14ac:dyDescent="0.3">
      <c r="C9" s="38" t="s">
        <v>20</v>
      </c>
      <c r="D9" s="126">
        <v>6</v>
      </c>
      <c r="E9" s="126">
        <v>4</v>
      </c>
      <c r="F9" s="126">
        <v>21</v>
      </c>
      <c r="G9" s="126">
        <v>54</v>
      </c>
      <c r="H9" s="127">
        <v>21</v>
      </c>
      <c r="I9" s="126">
        <v>1</v>
      </c>
      <c r="J9" s="126">
        <v>2</v>
      </c>
      <c r="K9" s="126">
        <v>24</v>
      </c>
      <c r="L9" s="127">
        <v>4</v>
      </c>
      <c r="M9" s="127">
        <f>SUM(D9:L9)</f>
        <v>137</v>
      </c>
    </row>
    <row r="10" spans="2:15" x14ac:dyDescent="0.3">
      <c r="C10" s="38" t="s">
        <v>21</v>
      </c>
      <c r="D10" s="127">
        <v>115</v>
      </c>
      <c r="E10" s="126">
        <v>51</v>
      </c>
      <c r="F10" s="126">
        <v>241</v>
      </c>
      <c r="G10" s="126">
        <v>264</v>
      </c>
      <c r="H10" s="127">
        <v>141</v>
      </c>
      <c r="I10" s="126">
        <v>13</v>
      </c>
      <c r="J10" s="126">
        <v>9</v>
      </c>
      <c r="K10" s="126">
        <v>455</v>
      </c>
      <c r="L10" s="127">
        <v>131</v>
      </c>
      <c r="M10" s="127">
        <f>SUM(D10:L10)</f>
        <v>1420</v>
      </c>
    </row>
    <row r="11" spans="2:15" x14ac:dyDescent="0.3">
      <c r="C11" s="38" t="s">
        <v>12</v>
      </c>
      <c r="D11" s="127">
        <f t="shared" ref="D11:M11" si="0">SUM(D6:D10)</f>
        <v>193</v>
      </c>
      <c r="E11" s="126">
        <f t="shared" si="0"/>
        <v>57</v>
      </c>
      <c r="F11" s="127">
        <f t="shared" si="0"/>
        <v>425</v>
      </c>
      <c r="G11" s="127">
        <f t="shared" si="0"/>
        <v>591</v>
      </c>
      <c r="H11" s="127">
        <f t="shared" si="0"/>
        <v>256</v>
      </c>
      <c r="I11" s="126">
        <f t="shared" si="0"/>
        <v>16</v>
      </c>
      <c r="J11" s="126">
        <f t="shared" si="0"/>
        <v>15</v>
      </c>
      <c r="K11" s="126">
        <f t="shared" si="0"/>
        <v>581</v>
      </c>
      <c r="L11" s="126">
        <f t="shared" si="0"/>
        <v>195</v>
      </c>
      <c r="M11" s="127">
        <f t="shared" si="0"/>
        <v>2329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37" t="s">
        <v>24</v>
      </c>
      <c r="D16" s="126">
        <v>62</v>
      </c>
      <c r="E16" s="126">
        <v>1</v>
      </c>
      <c r="F16" s="126">
        <v>43</v>
      </c>
      <c r="G16" s="127">
        <v>135</v>
      </c>
      <c r="H16" s="127">
        <v>135</v>
      </c>
      <c r="I16" s="127">
        <v>14</v>
      </c>
      <c r="J16" s="127">
        <v>3</v>
      </c>
      <c r="K16" s="127">
        <v>93</v>
      </c>
      <c r="L16" s="127">
        <v>3</v>
      </c>
      <c r="M16" s="127">
        <f t="shared" ref="M16:M21" si="1">SUM(D16:L16)</f>
        <v>489</v>
      </c>
    </row>
    <row r="17" spans="2:13" x14ac:dyDescent="0.3">
      <c r="C17" s="38" t="s">
        <v>25</v>
      </c>
      <c r="D17" s="126">
        <v>7</v>
      </c>
      <c r="E17" s="126">
        <v>0</v>
      </c>
      <c r="F17" s="127">
        <v>8</v>
      </c>
      <c r="G17" s="126">
        <v>40</v>
      </c>
      <c r="H17" s="126">
        <v>30</v>
      </c>
      <c r="I17" s="126">
        <v>1</v>
      </c>
      <c r="J17" s="126">
        <v>0</v>
      </c>
      <c r="K17" s="126">
        <v>11</v>
      </c>
      <c r="L17" s="126">
        <v>18</v>
      </c>
      <c r="M17" s="127">
        <f t="shared" si="1"/>
        <v>115</v>
      </c>
    </row>
    <row r="18" spans="2:13" x14ac:dyDescent="0.3">
      <c r="C18" s="38" t="s">
        <v>26</v>
      </c>
      <c r="D18" s="126">
        <v>141</v>
      </c>
      <c r="E18" s="126">
        <v>17</v>
      </c>
      <c r="F18" s="126">
        <v>161</v>
      </c>
      <c r="G18" s="126">
        <v>220</v>
      </c>
      <c r="H18" s="127">
        <v>154</v>
      </c>
      <c r="I18" s="127">
        <v>4</v>
      </c>
      <c r="J18" s="126">
        <v>79</v>
      </c>
      <c r="K18" s="126">
        <v>129</v>
      </c>
      <c r="L18" s="127">
        <v>75</v>
      </c>
      <c r="M18" s="127">
        <f t="shared" si="1"/>
        <v>980</v>
      </c>
    </row>
    <row r="19" spans="2:13" x14ac:dyDescent="0.3">
      <c r="C19" s="38" t="s">
        <v>27</v>
      </c>
      <c r="D19" s="126">
        <v>48</v>
      </c>
      <c r="E19" s="126">
        <v>46</v>
      </c>
      <c r="F19" s="126">
        <v>43</v>
      </c>
      <c r="G19" s="126">
        <v>86</v>
      </c>
      <c r="H19" s="127">
        <v>65</v>
      </c>
      <c r="I19" s="126">
        <v>44</v>
      </c>
      <c r="J19" s="126">
        <v>6</v>
      </c>
      <c r="K19" s="126">
        <f>18+87</f>
        <v>105</v>
      </c>
      <c r="L19" s="127">
        <v>61</v>
      </c>
      <c r="M19" s="127">
        <f t="shared" si="1"/>
        <v>504</v>
      </c>
    </row>
    <row r="20" spans="2:13" x14ac:dyDescent="0.3">
      <c r="C20" s="38" t="s">
        <v>28</v>
      </c>
      <c r="D20" s="126">
        <f>D59</f>
        <v>31</v>
      </c>
      <c r="E20" s="126">
        <f>E59</f>
        <v>29</v>
      </c>
      <c r="F20" s="126">
        <f t="shared" ref="F20:L20" si="2">F59</f>
        <v>69</v>
      </c>
      <c r="G20" s="126">
        <f t="shared" si="2"/>
        <v>92</v>
      </c>
      <c r="H20" s="126">
        <f t="shared" si="2"/>
        <v>49</v>
      </c>
      <c r="I20" s="126">
        <f t="shared" si="2"/>
        <v>25</v>
      </c>
      <c r="J20" s="126">
        <f t="shared" si="2"/>
        <v>5</v>
      </c>
      <c r="K20" s="126">
        <f t="shared" si="2"/>
        <v>159</v>
      </c>
      <c r="L20" s="126">
        <f t="shared" si="2"/>
        <v>60</v>
      </c>
      <c r="M20" s="127">
        <f t="shared" si="1"/>
        <v>519</v>
      </c>
    </row>
    <row r="21" spans="2:13" x14ac:dyDescent="0.3">
      <c r="C21" s="38" t="s">
        <v>12</v>
      </c>
      <c r="D21" s="127">
        <f t="shared" ref="D21:L21" si="3">SUM(D16:D20)</f>
        <v>289</v>
      </c>
      <c r="E21" s="126">
        <f t="shared" si="3"/>
        <v>93</v>
      </c>
      <c r="F21" s="127">
        <f t="shared" si="3"/>
        <v>324</v>
      </c>
      <c r="G21" s="127">
        <f t="shared" si="3"/>
        <v>573</v>
      </c>
      <c r="H21" s="127">
        <f t="shared" si="3"/>
        <v>433</v>
      </c>
      <c r="I21" s="126">
        <f t="shared" si="3"/>
        <v>88</v>
      </c>
      <c r="J21" s="126">
        <f t="shared" si="3"/>
        <v>93</v>
      </c>
      <c r="K21" s="126">
        <f t="shared" si="3"/>
        <v>497</v>
      </c>
      <c r="L21" s="126">
        <f t="shared" si="3"/>
        <v>217</v>
      </c>
      <c r="M21" s="127">
        <f t="shared" si="1"/>
        <v>2607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0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0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59">
        <v>0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59">
        <v>5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>
        <v>4</v>
      </c>
      <c r="E31" s="126">
        <v>2</v>
      </c>
      <c r="F31" s="126">
        <v>8</v>
      </c>
      <c r="G31" s="127">
        <v>17</v>
      </c>
      <c r="H31" s="127">
        <v>3</v>
      </c>
      <c r="I31" s="127"/>
      <c r="J31" s="127"/>
      <c r="K31" s="127">
        <v>13</v>
      </c>
      <c r="L31" s="127">
        <v>8</v>
      </c>
      <c r="M31" s="127">
        <f t="shared" ref="M31:M58" si="4">SUM(D31:L31)</f>
        <v>55</v>
      </c>
    </row>
    <row r="32" spans="2:13" x14ac:dyDescent="0.3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4"/>
        <v>0</v>
      </c>
    </row>
    <row r="33" spans="3:13" x14ac:dyDescent="0.3">
      <c r="C33" s="38" t="s">
        <v>35</v>
      </c>
      <c r="D33" s="126">
        <v>4</v>
      </c>
      <c r="E33" s="126">
        <v>1</v>
      </c>
      <c r="F33" s="126"/>
      <c r="G33" s="126">
        <v>2</v>
      </c>
      <c r="H33" s="127"/>
      <c r="I33" s="127">
        <v>4</v>
      </c>
      <c r="J33" s="126"/>
      <c r="K33" s="126">
        <v>1</v>
      </c>
      <c r="L33" s="127"/>
      <c r="M33" s="127">
        <f t="shared" si="4"/>
        <v>12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4"/>
        <v>0</v>
      </c>
    </row>
    <row r="35" spans="3:13" x14ac:dyDescent="0.3">
      <c r="C35" s="38" t="s">
        <v>37</v>
      </c>
      <c r="D35" s="127">
        <v>3</v>
      </c>
      <c r="E35" s="126">
        <v>3</v>
      </c>
      <c r="F35" s="126">
        <v>4</v>
      </c>
      <c r="G35" s="126"/>
      <c r="H35" s="127"/>
      <c r="I35" s="126">
        <v>1</v>
      </c>
      <c r="J35" s="126"/>
      <c r="K35" s="126"/>
      <c r="L35" s="127"/>
      <c r="M35" s="127">
        <f t="shared" si="4"/>
        <v>11</v>
      </c>
    </row>
    <row r="36" spans="3:13" x14ac:dyDescent="0.3">
      <c r="C36" s="38" t="s">
        <v>38</v>
      </c>
      <c r="D36" s="127"/>
      <c r="E36" s="126"/>
      <c r="F36" s="127"/>
      <c r="G36" s="127">
        <v>1</v>
      </c>
      <c r="H36" s="127"/>
      <c r="I36" s="126"/>
      <c r="J36" s="126"/>
      <c r="K36" s="126">
        <v>1</v>
      </c>
      <c r="L36" s="126"/>
      <c r="M36" s="127">
        <f t="shared" si="4"/>
        <v>2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/>
      <c r="I39" s="127"/>
      <c r="J39" s="126"/>
      <c r="K39" s="126">
        <v>1</v>
      </c>
      <c r="L39" s="127"/>
      <c r="M39" s="127">
        <f t="shared" si="4"/>
        <v>1</v>
      </c>
    </row>
    <row r="40" spans="3:13" x14ac:dyDescent="0.3">
      <c r="C40" s="38" t="s">
        <v>42</v>
      </c>
      <c r="D40" s="126">
        <v>1</v>
      </c>
      <c r="E40" s="126"/>
      <c r="F40" s="127">
        <v>1</v>
      </c>
      <c r="G40" s="127">
        <v>7</v>
      </c>
      <c r="H40" s="127"/>
      <c r="I40" s="127"/>
      <c r="J40" s="126"/>
      <c r="K40" s="126">
        <v>7</v>
      </c>
      <c r="L40" s="127"/>
      <c r="M40" s="127">
        <f t="shared" si="4"/>
        <v>16</v>
      </c>
    </row>
    <row r="41" spans="3:13" x14ac:dyDescent="0.3">
      <c r="C41" s="38" t="s">
        <v>43</v>
      </c>
      <c r="D41" s="126">
        <v>1</v>
      </c>
      <c r="E41" s="126">
        <v>1</v>
      </c>
      <c r="F41" s="127">
        <v>2</v>
      </c>
      <c r="G41" s="127"/>
      <c r="H41" s="127"/>
      <c r="I41" s="127">
        <v>1</v>
      </c>
      <c r="J41" s="126"/>
      <c r="K41" s="126">
        <v>12</v>
      </c>
      <c r="L41" s="127">
        <v>1</v>
      </c>
      <c r="M41" s="127">
        <f t="shared" si="4"/>
        <v>18</v>
      </c>
    </row>
    <row r="42" spans="3:13" x14ac:dyDescent="0.3">
      <c r="C42" s="38" t="s">
        <v>44</v>
      </c>
      <c r="D42" s="126">
        <v>1</v>
      </c>
      <c r="E42" s="126">
        <v>1</v>
      </c>
      <c r="F42" s="126">
        <v>1</v>
      </c>
      <c r="G42" s="126">
        <v>6</v>
      </c>
      <c r="H42" s="127">
        <v>5</v>
      </c>
      <c r="I42" s="127"/>
      <c r="J42" s="126">
        <v>1</v>
      </c>
      <c r="K42" s="126">
        <v>1</v>
      </c>
      <c r="L42" s="127">
        <v>3</v>
      </c>
      <c r="M42" s="127">
        <f t="shared" si="4"/>
        <v>19</v>
      </c>
    </row>
    <row r="43" spans="3:13" x14ac:dyDescent="0.3">
      <c r="C43" s="37" t="s">
        <v>45</v>
      </c>
      <c r="D43" s="126">
        <v>2</v>
      </c>
      <c r="E43" s="126">
        <v>2</v>
      </c>
      <c r="F43" s="127">
        <v>3</v>
      </c>
      <c r="G43" s="127"/>
      <c r="H43" s="127"/>
      <c r="I43" s="127">
        <v>4</v>
      </c>
      <c r="J43" s="127">
        <v>1</v>
      </c>
      <c r="K43" s="127">
        <v>5</v>
      </c>
      <c r="L43" s="127"/>
      <c r="M43" s="127">
        <f t="shared" si="4"/>
        <v>17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3">
      <c r="C48" s="37" t="s">
        <v>50</v>
      </c>
      <c r="D48" s="127">
        <v>6</v>
      </c>
      <c r="E48" s="127">
        <v>10</v>
      </c>
      <c r="F48" s="127">
        <v>13</v>
      </c>
      <c r="G48" s="127">
        <v>39</v>
      </c>
      <c r="H48" s="127">
        <v>15</v>
      </c>
      <c r="I48" s="127">
        <v>10</v>
      </c>
      <c r="J48" s="127">
        <v>1</v>
      </c>
      <c r="K48" s="127">
        <v>61</v>
      </c>
      <c r="L48" s="127">
        <v>26</v>
      </c>
      <c r="M48" s="127">
        <f t="shared" si="4"/>
        <v>181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3">
      <c r="C51" s="38" t="s">
        <v>53</v>
      </c>
      <c r="D51" s="127"/>
      <c r="E51" s="126"/>
      <c r="F51" s="127">
        <v>1</v>
      </c>
      <c r="G51" s="127"/>
      <c r="H51" s="127"/>
      <c r="I51" s="127">
        <v>1</v>
      </c>
      <c r="J51" s="127"/>
      <c r="K51" s="127">
        <v>6</v>
      </c>
      <c r="L51" s="127"/>
      <c r="M51" s="127">
        <f t="shared" si="4"/>
        <v>8</v>
      </c>
    </row>
    <row r="52" spans="2:14" x14ac:dyDescent="0.3">
      <c r="C52" s="38" t="s">
        <v>54</v>
      </c>
      <c r="D52" s="127"/>
      <c r="E52" s="126">
        <v>1</v>
      </c>
      <c r="F52" s="127">
        <v>1</v>
      </c>
      <c r="G52" s="127">
        <v>1</v>
      </c>
      <c r="H52" s="127">
        <v>3</v>
      </c>
      <c r="I52" s="127">
        <v>2</v>
      </c>
      <c r="J52" s="127"/>
      <c r="K52" s="127">
        <v>1</v>
      </c>
      <c r="L52" s="127"/>
      <c r="M52" s="127">
        <f t="shared" si="4"/>
        <v>9</v>
      </c>
    </row>
    <row r="53" spans="2:14" x14ac:dyDescent="0.3">
      <c r="C53" s="38" t="s">
        <v>167</v>
      </c>
      <c r="D53" s="127"/>
      <c r="E53" s="126">
        <v>1</v>
      </c>
      <c r="F53" s="127">
        <v>2</v>
      </c>
      <c r="G53" s="127">
        <v>4</v>
      </c>
      <c r="H53" s="127">
        <v>6</v>
      </c>
      <c r="I53" s="127"/>
      <c r="J53" s="127"/>
      <c r="K53" s="127">
        <v>5</v>
      </c>
      <c r="L53" s="127">
        <v>2</v>
      </c>
      <c r="M53" s="127">
        <f t="shared" si="4"/>
        <v>20</v>
      </c>
    </row>
    <row r="54" spans="2:14" x14ac:dyDescent="0.3">
      <c r="C54" s="38" t="s">
        <v>55</v>
      </c>
      <c r="D54" s="127">
        <v>7</v>
      </c>
      <c r="E54" s="126">
        <v>2</v>
      </c>
      <c r="F54" s="127">
        <v>29</v>
      </c>
      <c r="G54" s="127">
        <v>14</v>
      </c>
      <c r="H54" s="127">
        <v>13</v>
      </c>
      <c r="I54" s="127"/>
      <c r="J54" s="127">
        <v>2</v>
      </c>
      <c r="K54" s="127">
        <v>30</v>
      </c>
      <c r="L54" s="127">
        <v>16</v>
      </c>
      <c r="M54" s="127">
        <f t="shared" si="4"/>
        <v>113</v>
      </c>
    </row>
    <row r="55" spans="2:14" x14ac:dyDescent="0.3">
      <c r="C55" s="38" t="s">
        <v>56</v>
      </c>
      <c r="D55" s="126">
        <v>2</v>
      </c>
      <c r="E55" s="126"/>
      <c r="F55" s="126">
        <v>4</v>
      </c>
      <c r="G55" s="127"/>
      <c r="H55" s="126">
        <v>2</v>
      </c>
      <c r="I55" s="127">
        <v>1</v>
      </c>
      <c r="J55" s="127"/>
      <c r="K55" s="127">
        <v>5</v>
      </c>
      <c r="L55" s="127">
        <v>4</v>
      </c>
      <c r="M55" s="127">
        <f t="shared" si="4"/>
        <v>18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3">
      <c r="C57" s="34" t="s">
        <v>58</v>
      </c>
      <c r="D57" s="126"/>
      <c r="E57" s="126">
        <v>5</v>
      </c>
      <c r="F57" s="126"/>
      <c r="G57" s="127"/>
      <c r="H57" s="126"/>
      <c r="I57" s="127"/>
      <c r="J57" s="126"/>
      <c r="K57" s="126">
        <v>1</v>
      </c>
      <c r="L57" s="127"/>
      <c r="M57" s="127">
        <f t="shared" si="4"/>
        <v>6</v>
      </c>
    </row>
    <row r="58" spans="2:14" ht="15" thickBot="1" x14ac:dyDescent="0.35">
      <c r="C58" s="118" t="s">
        <v>59</v>
      </c>
      <c r="D58" s="145"/>
      <c r="E58" s="128"/>
      <c r="F58" s="128"/>
      <c r="G58" s="128">
        <v>1</v>
      </c>
      <c r="H58" s="128">
        <v>2</v>
      </c>
      <c r="I58" s="128">
        <v>1</v>
      </c>
      <c r="J58" s="128"/>
      <c r="K58" s="128">
        <v>9</v>
      </c>
      <c r="L58" s="128"/>
      <c r="M58" s="144">
        <f t="shared" si="4"/>
        <v>13</v>
      </c>
    </row>
    <row r="59" spans="2:14" ht="15" thickTop="1" x14ac:dyDescent="0.3">
      <c r="C59" s="36" t="s">
        <v>29</v>
      </c>
      <c r="D59" s="143">
        <f t="shared" ref="D59:M59" si="5">SUM(D31:D58)</f>
        <v>31</v>
      </c>
      <c r="E59" s="143">
        <f>SUM(E31:E58)</f>
        <v>29</v>
      </c>
      <c r="F59" s="143">
        <f t="shared" si="5"/>
        <v>69</v>
      </c>
      <c r="G59" s="143">
        <f t="shared" si="5"/>
        <v>92</v>
      </c>
      <c r="H59" s="143">
        <f t="shared" si="5"/>
        <v>49</v>
      </c>
      <c r="I59" s="143">
        <f t="shared" si="5"/>
        <v>25</v>
      </c>
      <c r="J59" s="143">
        <f t="shared" si="5"/>
        <v>5</v>
      </c>
      <c r="K59" s="143">
        <f t="shared" si="5"/>
        <v>159</v>
      </c>
      <c r="L59" s="143">
        <f t="shared" si="5"/>
        <v>60</v>
      </c>
      <c r="M59" s="143">
        <f t="shared" si="5"/>
        <v>519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3363</v>
      </c>
      <c r="E64" s="125">
        <v>79</v>
      </c>
      <c r="F64" s="124">
        <v>12858</v>
      </c>
      <c r="G64" s="125">
        <v>11852</v>
      </c>
      <c r="H64" s="125">
        <v>9076</v>
      </c>
      <c r="I64" s="125">
        <v>102</v>
      </c>
      <c r="J64" s="125">
        <v>57</v>
      </c>
      <c r="K64" s="125">
        <v>11547</v>
      </c>
      <c r="L64" s="125">
        <v>1832</v>
      </c>
      <c r="M64" s="21">
        <f>SUM(D64:L64)</f>
        <v>50766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98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144</v>
      </c>
      <c r="N68" s="16"/>
    </row>
    <row r="69" spans="2:14" x14ac:dyDescent="0.3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136">
        <v>44695</v>
      </c>
      <c r="D70" s="129">
        <f>64+39+25+22</f>
        <v>150</v>
      </c>
      <c r="E70" s="129">
        <v>993</v>
      </c>
      <c r="F70" s="135">
        <f>40+13+8+77+5+30+67+1</f>
        <v>241</v>
      </c>
      <c r="G70" s="135">
        <f>48+3+18+4+1+5+4+5+2+32+16+11+4+64+3+4+2+9+3+11+2+6+19+15+4+8+1+15+1+20+7+1+6+3+11+6+8+3+24+5+1+1+2+3</f>
        <v>421</v>
      </c>
      <c r="H70" s="129">
        <v>52</v>
      </c>
      <c r="I70" s="135">
        <f>21+189+4388</f>
        <v>4598</v>
      </c>
      <c r="J70" s="135">
        <v>14</v>
      </c>
      <c r="K70" s="129">
        <v>17</v>
      </c>
      <c r="L70" s="135">
        <v>222</v>
      </c>
      <c r="M70" s="129">
        <f>5086+179</f>
        <v>5265</v>
      </c>
      <c r="N70" s="130">
        <f>SUM(C70:M70)</f>
        <v>56668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5086</v>
      </c>
    </row>
    <row r="73" spans="2:14" x14ac:dyDescent="0.3">
      <c r="B73" s="10"/>
      <c r="C73" s="6" t="s">
        <v>264</v>
      </c>
      <c r="D73" s="7"/>
      <c r="E73" s="8">
        <v>55</v>
      </c>
      <c r="F73" s="10"/>
      <c r="G73" s="10"/>
      <c r="H73" s="12"/>
      <c r="I73" s="10"/>
      <c r="K73" s="10"/>
      <c r="L73" s="10" t="s">
        <v>147</v>
      </c>
      <c r="M73" s="10"/>
      <c r="N73">
        <f>39+43+45+37+15</f>
        <v>179</v>
      </c>
    </row>
    <row r="74" spans="2:14" x14ac:dyDescent="0.3">
      <c r="C74" s="42" t="s">
        <v>79</v>
      </c>
      <c r="D74" s="43"/>
      <c r="E74" s="31">
        <v>231</v>
      </c>
      <c r="I74" s="10"/>
      <c r="K74" s="10"/>
      <c r="L74" s="10"/>
      <c r="M74" s="10"/>
    </row>
    <row r="75" spans="2:14" x14ac:dyDescent="0.3">
      <c r="C75" s="44" t="s">
        <v>82</v>
      </c>
      <c r="D75" s="47"/>
      <c r="E75" s="16">
        <v>69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6" t="s">
        <v>117</v>
      </c>
      <c r="D77" s="49"/>
      <c r="E77" s="10"/>
      <c r="I77" s="10"/>
    </row>
    <row r="78" spans="2:14" x14ac:dyDescent="0.3">
      <c r="C78" s="51" t="s">
        <v>118</v>
      </c>
      <c r="D78" s="166">
        <v>895</v>
      </c>
      <c r="E78" s="10"/>
      <c r="I78" s="10"/>
    </row>
    <row r="79" spans="2:14" x14ac:dyDescent="0.3">
      <c r="C79" s="53" t="s">
        <v>108</v>
      </c>
      <c r="D79" s="56">
        <v>442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123" t="s">
        <v>77</v>
      </c>
      <c r="D81" s="105"/>
      <c r="E81" s="8">
        <v>7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4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0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5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10" t="s">
        <v>179</v>
      </c>
      <c r="D89" s="126">
        <v>52</v>
      </c>
      <c r="E89" s="126">
        <v>4</v>
      </c>
      <c r="F89" s="126">
        <v>156</v>
      </c>
      <c r="G89" s="167">
        <v>419</v>
      </c>
      <c r="H89" s="167">
        <v>111</v>
      </c>
      <c r="I89" s="167">
        <v>0</v>
      </c>
      <c r="J89" s="167">
        <v>0</v>
      </c>
      <c r="K89" s="167">
        <v>112</v>
      </c>
      <c r="L89" s="167">
        <v>6</v>
      </c>
      <c r="M89" s="168">
        <v>0</v>
      </c>
      <c r="N89" s="119">
        <f>SUM(D89:M89)</f>
        <v>860</v>
      </c>
    </row>
    <row r="90" spans="2:14" x14ac:dyDescent="0.3">
      <c r="B90" s="9"/>
      <c r="C90" s="12" t="s">
        <v>13</v>
      </c>
      <c r="D90" s="126">
        <v>7</v>
      </c>
      <c r="E90" s="126">
        <v>0</v>
      </c>
      <c r="F90" s="126">
        <v>12</v>
      </c>
      <c r="G90" s="167">
        <v>53</v>
      </c>
      <c r="H90" s="167">
        <v>4</v>
      </c>
      <c r="I90" s="167">
        <v>0</v>
      </c>
      <c r="J90" s="167">
        <v>0</v>
      </c>
      <c r="K90" s="167">
        <v>27</v>
      </c>
      <c r="L90" s="167">
        <v>0</v>
      </c>
      <c r="M90" s="167">
        <v>23</v>
      </c>
      <c r="N90" s="119">
        <f>SUM(D90:M90)</f>
        <v>126</v>
      </c>
    </row>
    <row r="91" spans="2:14" ht="15" thickBot="1" x14ac:dyDescent="0.35">
      <c r="B91" s="9"/>
      <c r="C91" s="12" t="s">
        <v>14</v>
      </c>
      <c r="D91" s="128">
        <v>1</v>
      </c>
      <c r="E91" s="128">
        <v>2</v>
      </c>
      <c r="F91" s="128">
        <v>1</v>
      </c>
      <c r="G91" s="128">
        <v>61</v>
      </c>
      <c r="H91" s="128">
        <v>46</v>
      </c>
      <c r="I91" s="128">
        <v>0</v>
      </c>
      <c r="J91" s="128">
        <v>0</v>
      </c>
      <c r="K91" s="128">
        <v>20</v>
      </c>
      <c r="L91" s="128">
        <v>13</v>
      </c>
      <c r="M91" s="169">
        <v>0</v>
      </c>
      <c r="N91" s="119">
        <f>SUM(D91:M91)</f>
        <v>144</v>
      </c>
    </row>
    <row r="92" spans="2:14" ht="15" thickTop="1" x14ac:dyDescent="0.3">
      <c r="B92" s="13"/>
      <c r="C92" s="14" t="s">
        <v>12</v>
      </c>
      <c r="D92" s="143">
        <f>SUM(D89:D91)</f>
        <v>60</v>
      </c>
      <c r="E92" s="143">
        <f t="shared" ref="E92:M92" si="6">SUM(E89:E91)</f>
        <v>6</v>
      </c>
      <c r="F92" s="143">
        <f t="shared" si="6"/>
        <v>169</v>
      </c>
      <c r="G92" s="143">
        <f t="shared" si="6"/>
        <v>533</v>
      </c>
      <c r="H92" s="143">
        <f t="shared" si="6"/>
        <v>161</v>
      </c>
      <c r="I92" s="143">
        <f t="shared" si="6"/>
        <v>0</v>
      </c>
      <c r="J92" s="143">
        <f t="shared" si="6"/>
        <v>0</v>
      </c>
      <c r="K92" s="143">
        <f t="shared" si="6"/>
        <v>159</v>
      </c>
      <c r="L92" s="143">
        <f t="shared" si="6"/>
        <v>19</v>
      </c>
      <c r="M92" s="143">
        <f t="shared" si="6"/>
        <v>23</v>
      </c>
      <c r="N92" s="119">
        <f t="shared" ref="N92" si="7">SUM(D92:M92)</f>
        <v>1130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5</v>
      </c>
      <c r="E95" s="126">
        <v>2</v>
      </c>
      <c r="F95" s="126">
        <v>0</v>
      </c>
      <c r="G95" s="150">
        <v>17</v>
      </c>
      <c r="H95" s="150">
        <v>0</v>
      </c>
      <c r="I95" s="150">
        <v>0</v>
      </c>
      <c r="J95" s="150">
        <v>0</v>
      </c>
      <c r="K95" s="150">
        <v>12</v>
      </c>
      <c r="L95" s="150">
        <v>0</v>
      </c>
      <c r="M95" s="150">
        <f>SUM(D95:L95)</f>
        <v>36</v>
      </c>
      <c r="N95" s="10"/>
    </row>
    <row r="96" spans="2:14" ht="15" thickBot="1" x14ac:dyDescent="0.35">
      <c r="B96" s="365" t="s">
        <v>177</v>
      </c>
      <c r="C96" s="380"/>
      <c r="D96" s="128">
        <v>0</v>
      </c>
      <c r="E96" s="128">
        <v>0</v>
      </c>
      <c r="F96" s="128">
        <v>0</v>
      </c>
      <c r="G96" s="174">
        <v>24</v>
      </c>
      <c r="H96" s="174">
        <v>0</v>
      </c>
      <c r="I96" s="174">
        <v>14</v>
      </c>
      <c r="J96" s="174">
        <v>0</v>
      </c>
      <c r="K96" s="174">
        <v>140</v>
      </c>
      <c r="L96" s="174">
        <v>0</v>
      </c>
      <c r="M96" s="174">
        <f>SUM(D96:L96)</f>
        <v>178</v>
      </c>
      <c r="N96" s="10"/>
    </row>
    <row r="97" spans="1:15" ht="15" thickTop="1" x14ac:dyDescent="0.3">
      <c r="B97" s="28"/>
      <c r="C97" s="190" t="s">
        <v>29</v>
      </c>
      <c r="D97" s="171">
        <f t="shared" ref="D97:M97" si="8">SUM(D95:D96)</f>
        <v>5</v>
      </c>
      <c r="E97" s="171">
        <f t="shared" si="8"/>
        <v>2</v>
      </c>
      <c r="F97" s="171">
        <f t="shared" si="8"/>
        <v>0</v>
      </c>
      <c r="G97" s="171">
        <f t="shared" si="8"/>
        <v>41</v>
      </c>
      <c r="H97" s="171">
        <f t="shared" si="8"/>
        <v>0</v>
      </c>
      <c r="I97" s="172">
        <f t="shared" si="8"/>
        <v>14</v>
      </c>
      <c r="J97" s="171">
        <f t="shared" si="8"/>
        <v>0</v>
      </c>
      <c r="K97" s="171">
        <f t="shared" si="8"/>
        <v>152</v>
      </c>
      <c r="L97" s="171">
        <f t="shared" si="8"/>
        <v>0</v>
      </c>
      <c r="M97" s="173">
        <f t="shared" si="8"/>
        <v>214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43">
        <v>0</v>
      </c>
      <c r="E99" s="143">
        <v>0</v>
      </c>
      <c r="F99" s="143">
        <v>0</v>
      </c>
      <c r="G99" s="151">
        <v>6</v>
      </c>
      <c r="H99" s="151">
        <v>3</v>
      </c>
      <c r="I99" s="151">
        <v>0</v>
      </c>
      <c r="J99" s="151">
        <v>0</v>
      </c>
      <c r="K99" s="151">
        <v>39</v>
      </c>
      <c r="L99" s="151">
        <v>0</v>
      </c>
      <c r="M99" s="151">
        <f>SUM(D99:L99)</f>
        <v>48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1:15" x14ac:dyDescent="0.3">
      <c r="B104" s="374" t="s">
        <v>23</v>
      </c>
      <c r="C104" s="375"/>
      <c r="D104" s="181">
        <v>8</v>
      </c>
      <c r="E104" s="131">
        <v>0</v>
      </c>
      <c r="F104" s="131">
        <v>84.99</v>
      </c>
      <c r="G104" s="131">
        <v>30.5</v>
      </c>
      <c r="H104" s="131">
        <v>3.25</v>
      </c>
      <c r="I104" s="131">
        <v>0</v>
      </c>
      <c r="J104" s="131">
        <v>0</v>
      </c>
      <c r="K104" s="131">
        <v>16.25</v>
      </c>
      <c r="L104" s="131">
        <v>0</v>
      </c>
      <c r="M104" s="132">
        <v>37.5</v>
      </c>
      <c r="N104" s="133">
        <f>SUM(D104:M104)</f>
        <v>180.49</v>
      </c>
    </row>
    <row r="105" spans="1:15" x14ac:dyDescent="0.3">
      <c r="B105" s="182"/>
      <c r="C105" s="183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6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30">
        <v>731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30">
        <v>123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30">
        <v>15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30">
        <v>5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6">
        <v>0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11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13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0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v>240</v>
      </c>
    </row>
    <row r="120" spans="2:14" x14ac:dyDescent="0.3">
      <c r="C120" s="9" t="s">
        <v>20</v>
      </c>
      <c r="D120" s="10"/>
      <c r="E120" s="137">
        <f>182+51</f>
        <v>233</v>
      </c>
    </row>
    <row r="121" spans="2:14" x14ac:dyDescent="0.3">
      <c r="C121" s="9" t="s">
        <v>19</v>
      </c>
      <c r="D121" s="10"/>
      <c r="E121" s="137">
        <v>20</v>
      </c>
    </row>
    <row r="122" spans="2:14" x14ac:dyDescent="0.3">
      <c r="C122" s="9" t="s">
        <v>93</v>
      </c>
      <c r="D122" s="10"/>
      <c r="E122" s="137">
        <f>384+29</f>
        <v>413</v>
      </c>
    </row>
    <row r="123" spans="2:14" x14ac:dyDescent="0.3">
      <c r="C123" s="13" t="s">
        <v>96</v>
      </c>
      <c r="D123" s="15"/>
      <c r="E123" s="138">
        <v>0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v>5</v>
      </c>
    </row>
    <row r="127" spans="2:14" x14ac:dyDescent="0.3">
      <c r="C127" s="51" t="s">
        <v>88</v>
      </c>
      <c r="D127" s="10"/>
      <c r="E127" s="137">
        <v>1</v>
      </c>
    </row>
    <row r="128" spans="2:14" x14ac:dyDescent="0.3">
      <c r="C128" s="51" t="s">
        <v>90</v>
      </c>
      <c r="D128" s="10"/>
      <c r="E128" s="137">
        <v>36</v>
      </c>
    </row>
    <row r="129" spans="3:15" x14ac:dyDescent="0.3">
      <c r="C129" s="51" t="s">
        <v>92</v>
      </c>
      <c r="D129" s="12"/>
      <c r="E129" s="137">
        <f>640+63+7</f>
        <v>710</v>
      </c>
    </row>
    <row r="130" spans="3:15" x14ac:dyDescent="0.3">
      <c r="C130" s="51" t="s">
        <v>95</v>
      </c>
      <c r="D130" s="12"/>
      <c r="E130" s="137">
        <f>21+1+3+10</f>
        <v>35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v>7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v>11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51" t="s">
        <v>100</v>
      </c>
      <c r="D133" s="10"/>
      <c r="E133" s="137">
        <v>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>
        <v>0</v>
      </c>
    </row>
    <row r="137" spans="3:15" x14ac:dyDescent="0.3">
      <c r="C137" s="50" t="s">
        <v>25</v>
      </c>
      <c r="D137" s="10"/>
      <c r="E137" s="139">
        <v>11</v>
      </c>
    </row>
    <row r="138" spans="3:15" x14ac:dyDescent="0.3">
      <c r="C138" s="50" t="s">
        <v>149</v>
      </c>
      <c r="D138" s="10"/>
      <c r="E138" s="139">
        <v>0</v>
      </c>
    </row>
    <row r="139" spans="3:15" x14ac:dyDescent="0.3">
      <c r="C139" s="52" t="s">
        <v>26</v>
      </c>
      <c r="D139" s="15"/>
      <c r="E139" s="138">
        <f>226+54+300</f>
        <v>580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191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2</v>
      </c>
      <c r="F144" s="126">
        <v>0</v>
      </c>
      <c r="G144" s="157">
        <f>SUM(E144:F144)</f>
        <v>2</v>
      </c>
    </row>
    <row r="145" spans="2:14" x14ac:dyDescent="0.3">
      <c r="C145" s="199" t="s">
        <v>13</v>
      </c>
      <c r="D145" s="163"/>
      <c r="E145" s="126">
        <v>0</v>
      </c>
      <c r="F145" s="126" t="s">
        <v>126</v>
      </c>
      <c r="G145" s="157">
        <f t="shared" ref="G145:G148" si="9">SUM(E145:F145)</f>
        <v>0</v>
      </c>
    </row>
    <row r="146" spans="2:14" x14ac:dyDescent="0.3">
      <c r="C146" s="199" t="s">
        <v>122</v>
      </c>
      <c r="D146" s="163"/>
      <c r="E146" s="126">
        <v>2</v>
      </c>
      <c r="F146" s="126">
        <v>0</v>
      </c>
      <c r="G146" s="157">
        <f t="shared" si="9"/>
        <v>2</v>
      </c>
    </row>
    <row r="147" spans="2:14" x14ac:dyDescent="0.3">
      <c r="C147" s="158" t="s">
        <v>124</v>
      </c>
      <c r="D147" s="162"/>
      <c r="E147" s="127">
        <v>7</v>
      </c>
      <c r="F147" s="127">
        <v>0</v>
      </c>
      <c r="G147" s="157">
        <f t="shared" si="9"/>
        <v>7</v>
      </c>
      <c r="L147" s="10"/>
      <c r="M147" s="29"/>
    </row>
    <row r="148" spans="2:14" x14ac:dyDescent="0.3">
      <c r="C148" s="159" t="s">
        <v>13</v>
      </c>
      <c r="D148" s="158"/>
      <c r="E148" s="127">
        <v>3</v>
      </c>
      <c r="F148" s="127" t="s">
        <v>126</v>
      </c>
      <c r="G148" s="157">
        <f t="shared" si="9"/>
        <v>3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55.8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115" t="s">
        <v>153</v>
      </c>
    </row>
    <row r="152" spans="2:14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2.5" customHeight="1" x14ac:dyDescent="0.3">
      <c r="B153" s="399"/>
      <c r="C153" s="400"/>
      <c r="D153" s="385"/>
      <c r="E153" s="386"/>
      <c r="F153" s="106"/>
    </row>
    <row r="154" spans="2:14" ht="23.25" customHeight="1" x14ac:dyDescent="0.3">
      <c r="B154" s="372" t="s">
        <v>169</v>
      </c>
      <c r="C154" s="373"/>
      <c r="D154" s="370">
        <v>192</v>
      </c>
      <c r="E154" s="371"/>
      <c r="F154" s="107"/>
    </row>
    <row r="155" spans="2:14" ht="22.5" customHeight="1" x14ac:dyDescent="0.3">
      <c r="B155" s="372" t="s">
        <v>183</v>
      </c>
      <c r="C155" s="373"/>
      <c r="D155" s="370">
        <v>665</v>
      </c>
      <c r="E155" s="371"/>
      <c r="F155" s="107"/>
    </row>
    <row r="156" spans="2:14" x14ac:dyDescent="0.3">
      <c r="B156" s="372" t="s">
        <v>154</v>
      </c>
      <c r="C156" s="373"/>
      <c r="D156" s="370">
        <v>1473</v>
      </c>
      <c r="E156" s="371"/>
      <c r="F156" s="107"/>
    </row>
    <row r="157" spans="2:14" x14ac:dyDescent="0.3">
      <c r="B157" s="372" t="s">
        <v>155</v>
      </c>
      <c r="C157" s="373"/>
      <c r="D157" s="370">
        <v>32</v>
      </c>
      <c r="E157" s="371"/>
      <c r="F157" s="107"/>
    </row>
    <row r="158" spans="2:14" x14ac:dyDescent="0.3">
      <c r="B158" s="372" t="s">
        <v>156</v>
      </c>
      <c r="C158" s="373"/>
      <c r="D158" s="370">
        <v>1535</v>
      </c>
      <c r="E158" s="371"/>
      <c r="F158" s="107"/>
    </row>
    <row r="159" spans="2:14" x14ac:dyDescent="0.3">
      <c r="B159" s="372" t="s">
        <v>123</v>
      </c>
      <c r="C159" s="373"/>
      <c r="D159" s="370">
        <v>53</v>
      </c>
      <c r="E159" s="371"/>
      <c r="F159" s="107"/>
    </row>
    <row r="160" spans="2:14" x14ac:dyDescent="0.3">
      <c r="B160" s="372" t="s">
        <v>125</v>
      </c>
      <c r="C160" s="373"/>
      <c r="D160" s="370">
        <v>44</v>
      </c>
      <c r="E160" s="371"/>
      <c r="F160" s="107"/>
    </row>
    <row r="161" spans="2:15" x14ac:dyDescent="0.3">
      <c r="B161" s="372" t="s">
        <v>110</v>
      </c>
      <c r="C161" s="373"/>
      <c r="D161" s="370">
        <v>18</v>
      </c>
      <c r="E161" s="371"/>
      <c r="F161" s="107">
        <v>17</v>
      </c>
    </row>
    <row r="162" spans="2:15" x14ac:dyDescent="0.3">
      <c r="B162" s="372" t="s">
        <v>157</v>
      </c>
      <c r="C162" s="373"/>
      <c r="D162" s="370">
        <v>173</v>
      </c>
      <c r="E162" s="371"/>
      <c r="F162" s="107"/>
    </row>
    <row r="163" spans="2:15" ht="21.75" customHeight="1" x14ac:dyDescent="0.3">
      <c r="B163" s="372" t="s">
        <v>128</v>
      </c>
      <c r="C163" s="373"/>
      <c r="D163" s="370">
        <v>7</v>
      </c>
      <c r="E163" s="371"/>
      <c r="F163" s="107"/>
    </row>
    <row r="164" spans="2:15" ht="23.25" customHeight="1" x14ac:dyDescent="0.3">
      <c r="B164" s="395" t="s">
        <v>158</v>
      </c>
      <c r="C164" s="396"/>
      <c r="D164" s="353">
        <v>28</v>
      </c>
      <c r="E164" s="354"/>
      <c r="F164" s="108"/>
    </row>
    <row r="165" spans="2:15" ht="36" customHeight="1" x14ac:dyDescent="0.3">
      <c r="B165" s="395" t="s">
        <v>159</v>
      </c>
      <c r="C165" s="396"/>
      <c r="D165" s="353">
        <v>1004</v>
      </c>
      <c r="E165" s="354"/>
      <c r="F165" s="108"/>
    </row>
    <row r="166" spans="2:15" ht="24.75" customHeight="1" x14ac:dyDescent="0.3">
      <c r="B166" s="397" t="s">
        <v>160</v>
      </c>
      <c r="C166" s="398"/>
      <c r="D166" s="355">
        <v>39</v>
      </c>
      <c r="E166" s="356"/>
      <c r="F166" s="109"/>
    </row>
    <row r="167" spans="2:15" ht="27.75" customHeight="1" x14ac:dyDescent="0.3">
      <c r="B167" s="387" t="s">
        <v>161</v>
      </c>
      <c r="C167" s="388"/>
      <c r="D167" s="357">
        <v>27</v>
      </c>
      <c r="E167" s="358"/>
      <c r="F167" s="110"/>
    </row>
    <row r="168" spans="2:15" ht="28.5" customHeight="1" x14ac:dyDescent="0.3">
      <c r="B168" s="387" t="s">
        <v>162</v>
      </c>
      <c r="C168" s="388"/>
      <c r="D168" s="357">
        <v>77</v>
      </c>
      <c r="E168" s="358"/>
      <c r="F168" s="110"/>
    </row>
    <row r="169" spans="2:15" ht="27" customHeight="1" x14ac:dyDescent="0.3">
      <c r="B169" s="389" t="s">
        <v>163</v>
      </c>
      <c r="C169" s="390"/>
      <c r="D169" s="359">
        <v>387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49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84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0</v>
      </c>
    </row>
    <row r="174" spans="2:15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5" ht="15" thickTop="1" x14ac:dyDescent="0.3">
      <c r="B175" s="164" t="s">
        <v>166</v>
      </c>
      <c r="C175" s="165"/>
      <c r="D175" s="343">
        <f>SUM(D153:D174)</f>
        <v>5887</v>
      </c>
      <c r="E175" s="344"/>
      <c r="F175" s="184">
        <f>SUM(F152:F174)</f>
        <v>17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6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26">
        <v>18</v>
      </c>
      <c r="F178" s="337">
        <v>17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v>1535</v>
      </c>
      <c r="F181" s="126"/>
      <c r="I181" s="29"/>
      <c r="J181" s="29"/>
      <c r="K181" s="54"/>
      <c r="L181" s="54"/>
      <c r="M181" s="58"/>
    </row>
    <row r="182" spans="2:14" x14ac:dyDescent="0.3">
      <c r="C182" s="345" t="s">
        <v>114</v>
      </c>
      <c r="D182" s="346"/>
      <c r="E182" s="126">
        <v>1473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84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46</v>
      </c>
      <c r="E187" s="143">
        <v>17</v>
      </c>
      <c r="F187" s="143">
        <f>23+185</f>
        <v>208</v>
      </c>
      <c r="G187" s="177">
        <f>42+144</f>
        <v>186</v>
      </c>
      <c r="H187" s="177">
        <v>121</v>
      </c>
      <c r="I187" s="177">
        <v>0</v>
      </c>
      <c r="J187" s="177">
        <v>40</v>
      </c>
      <c r="K187" s="177">
        <v>125</v>
      </c>
      <c r="L187" s="177">
        <v>137</v>
      </c>
      <c r="M187" s="177">
        <f>SUM(D187:L187)</f>
        <v>880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43</v>
      </c>
      <c r="H188" s="126" t="s">
        <v>126</v>
      </c>
      <c r="I188" s="126" t="s">
        <v>126</v>
      </c>
      <c r="J188" s="126" t="s">
        <v>126</v>
      </c>
      <c r="K188" s="126">
        <v>105</v>
      </c>
      <c r="L188" s="126">
        <f>22+184</f>
        <v>206</v>
      </c>
      <c r="M188" s="127">
        <f>SUM(D188:L188)</f>
        <v>354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0</v>
      </c>
      <c r="G189" s="128">
        <v>3</v>
      </c>
      <c r="H189" s="144">
        <v>0</v>
      </c>
      <c r="I189" s="144">
        <v>0</v>
      </c>
      <c r="J189" s="128" t="s">
        <v>126</v>
      </c>
      <c r="K189" s="128">
        <v>0</v>
      </c>
      <c r="L189" s="144">
        <v>20</v>
      </c>
      <c r="M189" s="144">
        <f>SUM(D189:L189)</f>
        <v>23</v>
      </c>
    </row>
    <row r="190" spans="2:14" ht="15" thickTop="1" x14ac:dyDescent="0.3">
      <c r="C190" s="38" t="s">
        <v>12</v>
      </c>
      <c r="D190" s="143">
        <f>SUM(D187:D189)</f>
        <v>46</v>
      </c>
      <c r="E190" s="143">
        <f>SUM(E187:E189)</f>
        <v>17</v>
      </c>
      <c r="F190" s="143">
        <f t="shared" ref="F190:M190" si="10">SUM(F187:F189)</f>
        <v>208</v>
      </c>
      <c r="G190" s="143">
        <f t="shared" si="10"/>
        <v>232</v>
      </c>
      <c r="H190" s="177">
        <f t="shared" si="10"/>
        <v>121</v>
      </c>
      <c r="I190" s="143">
        <f t="shared" si="10"/>
        <v>0</v>
      </c>
      <c r="J190" s="143">
        <f t="shared" si="10"/>
        <v>40</v>
      </c>
      <c r="K190" s="143">
        <f t="shared" si="10"/>
        <v>230</v>
      </c>
      <c r="L190" s="177">
        <f t="shared" si="10"/>
        <v>363</v>
      </c>
      <c r="M190" s="177">
        <f t="shared" si="10"/>
        <v>1257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8" x14ac:dyDescent="0.35">
      <c r="B195" s="286" t="s">
        <v>134</v>
      </c>
      <c r="C195" s="287"/>
      <c r="D195" s="287"/>
      <c r="E195" s="278"/>
      <c r="F195" s="278"/>
      <c r="G195" s="279"/>
      <c r="H195" s="287" t="s">
        <v>135</v>
      </c>
      <c r="I195" s="288"/>
      <c r="J195" s="288"/>
      <c r="K195" s="288"/>
      <c r="L195" s="278"/>
      <c r="M195" s="278"/>
      <c r="N195" s="280"/>
    </row>
    <row r="196" spans="2:14" x14ac:dyDescent="0.3">
      <c r="B196" s="306" t="s">
        <v>285</v>
      </c>
      <c r="C196" s="307"/>
      <c r="D196" s="299"/>
      <c r="E196" s="299"/>
      <c r="F196" s="299"/>
      <c r="G196" s="308"/>
      <c r="H196" s="289" t="s">
        <v>299</v>
      </c>
      <c r="I196" s="276"/>
      <c r="J196" s="290"/>
      <c r="K196" s="301"/>
      <c r="L196" s="309"/>
      <c r="M196" s="309"/>
      <c r="N196" s="310"/>
    </row>
    <row r="197" spans="2:14" x14ac:dyDescent="0.3">
      <c r="B197" s="306" t="s">
        <v>297</v>
      </c>
      <c r="C197" s="299"/>
      <c r="D197" s="299"/>
      <c r="E197" s="299"/>
      <c r="F197" s="299"/>
      <c r="G197" s="290"/>
      <c r="H197" s="289"/>
      <c r="I197" s="290"/>
      <c r="J197" s="290"/>
      <c r="K197" s="290"/>
      <c r="L197" s="291"/>
      <c r="M197" s="291"/>
      <c r="N197" s="292"/>
    </row>
    <row r="198" spans="2:14" x14ac:dyDescent="0.3">
      <c r="B198" s="311"/>
      <c r="C198" s="299"/>
      <c r="D198" s="299"/>
      <c r="E198" s="299"/>
      <c r="F198" s="299"/>
      <c r="G198" s="290"/>
      <c r="H198" s="289"/>
      <c r="I198" s="290"/>
      <c r="J198" s="290"/>
      <c r="K198" s="290"/>
      <c r="L198" s="291"/>
      <c r="M198" s="291"/>
      <c r="N198" s="292"/>
    </row>
    <row r="199" spans="2:14" x14ac:dyDescent="0.3">
      <c r="B199" s="293" t="s">
        <v>136</v>
      </c>
      <c r="C199" s="277"/>
      <c r="D199" s="277"/>
      <c r="E199" s="277"/>
      <c r="F199" s="277"/>
      <c r="G199" s="282"/>
      <c r="H199" s="289"/>
      <c r="I199" s="290"/>
      <c r="J199" s="290"/>
      <c r="K199" s="290"/>
      <c r="L199" s="291"/>
      <c r="M199" s="291"/>
      <c r="N199" s="292"/>
    </row>
    <row r="200" spans="2:14" x14ac:dyDescent="0.3">
      <c r="B200" s="294" t="s">
        <v>289</v>
      </c>
      <c r="C200" s="203"/>
      <c r="D200" s="203"/>
      <c r="E200" s="203"/>
      <c r="F200" s="203"/>
      <c r="G200" s="203"/>
      <c r="H200" s="295" t="s">
        <v>95</v>
      </c>
      <c r="J200" s="203"/>
      <c r="K200" s="319"/>
      <c r="L200" s="203"/>
      <c r="M200" s="203"/>
      <c r="N200" s="292"/>
    </row>
    <row r="201" spans="2:14" x14ac:dyDescent="0.3">
      <c r="B201" s="296"/>
      <c r="C201" s="297" t="s">
        <v>290</v>
      </c>
      <c r="D201" s="299"/>
      <c r="E201" s="299"/>
      <c r="F201" s="299"/>
      <c r="H201" s="306" t="s">
        <v>287</v>
      </c>
      <c r="K201" s="307"/>
      <c r="L201" s="299"/>
      <c r="M201" s="299"/>
      <c r="N201" s="313"/>
    </row>
    <row r="202" spans="2:14" x14ac:dyDescent="0.3">
      <c r="B202" s="294"/>
      <c r="C202" s="299" t="s">
        <v>288</v>
      </c>
      <c r="D202" s="299"/>
      <c r="E202" s="299"/>
      <c r="F202" s="299"/>
      <c r="G202" s="290"/>
      <c r="H202" s="306" t="s">
        <v>309</v>
      </c>
      <c r="J202" s="290"/>
      <c r="K202" s="290"/>
      <c r="L202" s="299"/>
      <c r="M202" s="299"/>
      <c r="N202" s="313"/>
    </row>
    <row r="203" spans="2:14" x14ac:dyDescent="0.3">
      <c r="B203" s="294" t="s">
        <v>291</v>
      </c>
      <c r="C203" s="297"/>
      <c r="D203" s="299"/>
      <c r="E203" s="299"/>
      <c r="F203" s="299"/>
      <c r="G203" s="299"/>
      <c r="H203" s="298"/>
      <c r="I203" s="276"/>
      <c r="J203" s="276"/>
      <c r="K203" s="276"/>
      <c r="L203" s="276"/>
      <c r="M203" s="299"/>
      <c r="N203" s="313"/>
    </row>
    <row r="204" spans="2:14" x14ac:dyDescent="0.3">
      <c r="B204" s="294" t="s">
        <v>294</v>
      </c>
      <c r="C204" s="299"/>
      <c r="D204" s="295"/>
      <c r="E204" s="299"/>
      <c r="F204" s="295"/>
      <c r="G204" s="312"/>
      <c r="H204" s="289"/>
      <c r="I204" s="203"/>
      <c r="J204" s="290"/>
      <c r="K204" s="290"/>
      <c r="L204" s="299"/>
      <c r="M204" s="299"/>
      <c r="N204" s="313"/>
    </row>
    <row r="205" spans="2:14" x14ac:dyDescent="0.3">
      <c r="B205" s="311"/>
      <c r="C205" s="299" t="s">
        <v>295</v>
      </c>
      <c r="D205" s="299"/>
      <c r="E205" s="299"/>
      <c r="F205" s="299"/>
      <c r="G205" s="312"/>
      <c r="H205" s="289"/>
      <c r="I205" s="203"/>
      <c r="J205" s="290"/>
      <c r="K205" s="290"/>
      <c r="L205" s="299"/>
      <c r="M205" s="299"/>
      <c r="N205" s="313"/>
    </row>
    <row r="206" spans="2:14" x14ac:dyDescent="0.3">
      <c r="B206" s="294" t="s">
        <v>298</v>
      </c>
      <c r="C206" s="299"/>
      <c r="D206" s="299"/>
      <c r="E206" s="299"/>
      <c r="F206" s="299"/>
      <c r="G206" s="312"/>
      <c r="H206" s="289"/>
      <c r="I206" s="203"/>
      <c r="J206" s="290"/>
      <c r="K206" s="290"/>
      <c r="L206" s="299"/>
      <c r="M206" s="299"/>
      <c r="N206" s="313"/>
    </row>
    <row r="207" spans="2:14" x14ac:dyDescent="0.3">
      <c r="B207" s="296" t="s">
        <v>302</v>
      </c>
      <c r="C207" s="299"/>
      <c r="D207" s="299"/>
      <c r="E207" s="299"/>
      <c r="F207" s="299"/>
      <c r="G207" s="312"/>
      <c r="H207" s="295" t="s">
        <v>168</v>
      </c>
      <c r="I207" s="281"/>
      <c r="J207" s="281"/>
      <c r="K207" s="281"/>
      <c r="L207" s="277"/>
      <c r="M207" s="277"/>
      <c r="N207" s="284"/>
    </row>
    <row r="208" spans="2:14" x14ac:dyDescent="0.3">
      <c r="B208" s="294"/>
      <c r="C208" s="299" t="s">
        <v>303</v>
      </c>
      <c r="D208" s="299"/>
      <c r="E208" s="299"/>
      <c r="F208" s="299"/>
      <c r="G208" s="312"/>
      <c r="H208" s="298" t="s">
        <v>292</v>
      </c>
      <c r="I208" s="203"/>
      <c r="J208" s="276"/>
      <c r="K208" s="276"/>
      <c r="L208" s="299"/>
      <c r="M208" s="299"/>
      <c r="N208" s="313"/>
    </row>
    <row r="209" spans="2:14" x14ac:dyDescent="0.3">
      <c r="B209" s="294" t="s">
        <v>308</v>
      </c>
      <c r="C209" s="299"/>
      <c r="D209" s="299"/>
      <c r="E209" s="299"/>
      <c r="F209" s="299"/>
      <c r="G209" s="312"/>
      <c r="H209" s="298"/>
      <c r="I209" s="203" t="s">
        <v>293</v>
      </c>
      <c r="J209" s="290"/>
      <c r="K209" s="290"/>
      <c r="L209" s="291"/>
      <c r="M209" s="291"/>
      <c r="N209" s="292"/>
    </row>
    <row r="210" spans="2:14" x14ac:dyDescent="0.3">
      <c r="B210" s="311"/>
      <c r="C210" s="299"/>
      <c r="D210" s="299"/>
      <c r="E210" s="299"/>
      <c r="F210" s="299"/>
      <c r="G210" s="312"/>
      <c r="H210" s="298"/>
      <c r="I210" s="203"/>
      <c r="J210" s="290"/>
      <c r="K210" s="290"/>
      <c r="L210" s="291"/>
      <c r="M210" s="291"/>
      <c r="N210" s="292"/>
    </row>
    <row r="211" spans="2:14" x14ac:dyDescent="0.3">
      <c r="B211" s="293" t="s">
        <v>28</v>
      </c>
      <c r="C211" s="277"/>
      <c r="D211" s="277"/>
      <c r="E211" s="277"/>
      <c r="F211" s="277"/>
      <c r="G211" s="285"/>
      <c r="H211" s="298"/>
      <c r="I211" s="203"/>
      <c r="J211" s="290"/>
      <c r="K211" s="290"/>
      <c r="L211" s="291"/>
      <c r="M211" s="291"/>
      <c r="N211" s="292"/>
    </row>
    <row r="212" spans="2:14" x14ac:dyDescent="0.3">
      <c r="B212" s="294" t="s">
        <v>286</v>
      </c>
      <c r="C212" s="203"/>
      <c r="D212" s="203"/>
      <c r="E212" s="203"/>
      <c r="F212" s="203"/>
      <c r="G212" s="308"/>
      <c r="H212" s="298"/>
      <c r="I212" s="203"/>
      <c r="J212" s="290"/>
      <c r="K212" s="290"/>
      <c r="L212" s="291"/>
      <c r="M212" s="291"/>
      <c r="N212" s="292"/>
    </row>
    <row r="213" spans="2:14" x14ac:dyDescent="0.3">
      <c r="B213" s="294"/>
      <c r="C213" s="299"/>
      <c r="D213" s="299"/>
      <c r="E213" s="299"/>
      <c r="F213" s="299"/>
      <c r="G213" s="308"/>
      <c r="H213" s="307"/>
      <c r="I213" s="203"/>
      <c r="J213" s="290"/>
      <c r="K213" s="307"/>
      <c r="L213" s="291"/>
      <c r="M213" s="291"/>
      <c r="N213" s="292"/>
    </row>
    <row r="214" spans="2:14" x14ac:dyDescent="0.3">
      <c r="B214" s="300" t="s">
        <v>137</v>
      </c>
      <c r="C214" s="277"/>
      <c r="D214" s="277"/>
      <c r="E214" s="277"/>
      <c r="F214" s="277"/>
      <c r="G214" s="282"/>
      <c r="H214" s="301" t="s">
        <v>138</v>
      </c>
      <c r="I214" s="283"/>
      <c r="J214" s="290"/>
      <c r="K214" s="290"/>
      <c r="L214" s="291"/>
      <c r="M214" s="291"/>
      <c r="N214" s="292"/>
    </row>
    <row r="215" spans="2:14" x14ac:dyDescent="0.3">
      <c r="B215" s="296" t="s">
        <v>301</v>
      </c>
      <c r="C215" s="299"/>
      <c r="D215" s="299"/>
      <c r="E215" s="299"/>
      <c r="F215" s="299"/>
      <c r="G215" s="308"/>
      <c r="H215" s="289" t="s">
        <v>296</v>
      </c>
      <c r="I215" s="203"/>
      <c r="J215" s="276"/>
      <c r="K215" s="276"/>
      <c r="L215" s="291"/>
      <c r="M215" s="291"/>
      <c r="N215" s="292"/>
    </row>
    <row r="216" spans="2:14" x14ac:dyDescent="0.3">
      <c r="B216" s="296" t="s">
        <v>300</v>
      </c>
      <c r="C216" s="299"/>
      <c r="D216" s="299"/>
      <c r="E216" s="203"/>
      <c r="F216" s="203"/>
      <c r="G216" s="203"/>
      <c r="H216" s="289" t="s">
        <v>306</v>
      </c>
      <c r="I216" s="203"/>
      <c r="J216" s="203"/>
      <c r="K216" s="203"/>
      <c r="L216" s="203"/>
      <c r="M216" s="203"/>
      <c r="N216" s="314"/>
    </row>
    <row r="217" spans="2:14" x14ac:dyDescent="0.3">
      <c r="B217" s="294" t="s">
        <v>307</v>
      </c>
      <c r="C217" s="299"/>
      <c r="D217" s="299"/>
      <c r="E217" s="299"/>
      <c r="F217" s="299"/>
      <c r="G217" s="308"/>
      <c r="H217" s="298"/>
      <c r="I217" s="203" t="s">
        <v>304</v>
      </c>
      <c r="J217" s="203"/>
      <c r="K217" s="203"/>
      <c r="L217" s="291"/>
      <c r="M217" s="291"/>
      <c r="N217" s="292"/>
    </row>
    <row r="218" spans="2:14" x14ac:dyDescent="0.3">
      <c r="B218" s="294"/>
      <c r="C218" s="295"/>
      <c r="D218" s="295"/>
      <c r="E218" s="299"/>
      <c r="F218" s="299"/>
      <c r="G218" s="308"/>
      <c r="H218" s="298"/>
      <c r="I218" s="203" t="s">
        <v>305</v>
      </c>
      <c r="J218" s="290"/>
      <c r="K218" s="290"/>
      <c r="L218" s="291"/>
      <c r="M218" s="291"/>
      <c r="N218" s="292"/>
    </row>
    <row r="219" spans="2:14" x14ac:dyDescent="0.3">
      <c r="B219" s="302"/>
      <c r="C219" s="315"/>
      <c r="D219" s="315"/>
      <c r="E219" s="315"/>
      <c r="F219" s="303"/>
      <c r="G219" s="304"/>
      <c r="H219" s="316"/>
      <c r="I219" s="305"/>
      <c r="J219" s="304"/>
      <c r="K219" s="305"/>
      <c r="L219" s="317"/>
      <c r="M219" s="317"/>
      <c r="N219" s="318"/>
    </row>
    <row r="220" spans="2:14" x14ac:dyDescent="0.3">
      <c r="B220" s="82"/>
      <c r="C220" s="69"/>
      <c r="D220" s="72"/>
      <c r="E220" s="72"/>
      <c r="F220" s="72"/>
      <c r="G220" s="72"/>
      <c r="H220" s="76"/>
      <c r="I220" s="76"/>
      <c r="J220" s="76"/>
      <c r="K220" s="76"/>
      <c r="L220" s="74"/>
      <c r="M220" s="74"/>
      <c r="N220" s="22"/>
    </row>
  </sheetData>
  <mergeCells count="72"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D166:E166"/>
    <mergeCell ref="B161:C161"/>
    <mergeCell ref="D161:E161"/>
    <mergeCell ref="B162:C162"/>
    <mergeCell ref="D162:E162"/>
    <mergeCell ref="B163:C163"/>
    <mergeCell ref="D163:E16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G152:I152"/>
    <mergeCell ref="F178:G178"/>
    <mergeCell ref="C181:D181"/>
    <mergeCell ref="C182:D182"/>
    <mergeCell ref="C183:D183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</mergeCells>
  <pageMargins left="0.7" right="0.7" top="0.75" bottom="0.75" header="0.3" footer="0.3"/>
  <pageSetup scale="65" fitToHeight="0" orientation="portrait" r:id="rId1"/>
  <rowBreaks count="3" manualBreakCount="3">
    <brk id="65" max="16383" man="1"/>
    <brk id="124" max="16383" man="1"/>
    <brk id="1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opLeftCell="A71" workbookViewId="0">
      <selection activeCell="F173" sqref="F173"/>
    </sheetView>
  </sheetViews>
  <sheetFormatPr defaultRowHeight="14.4" x14ac:dyDescent="0.3"/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 t="s">
        <v>193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37" t="s">
        <v>17</v>
      </c>
      <c r="D6" s="126">
        <v>70</v>
      </c>
      <c r="E6" s="126">
        <v>0</v>
      </c>
      <c r="F6" s="126">
        <v>147</v>
      </c>
      <c r="G6" s="127">
        <v>267</v>
      </c>
      <c r="H6" s="127">
        <v>76</v>
      </c>
      <c r="I6" s="127">
        <v>1</v>
      </c>
      <c r="J6" s="127">
        <v>4</v>
      </c>
      <c r="K6" s="127">
        <v>85</v>
      </c>
      <c r="L6" s="127">
        <v>58</v>
      </c>
      <c r="M6" s="127">
        <f>SUM(D6:L6)</f>
        <v>708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11</v>
      </c>
      <c r="H8" s="127">
        <v>18</v>
      </c>
      <c r="I8" s="127">
        <v>1</v>
      </c>
      <c r="J8" s="126">
        <v>0</v>
      </c>
      <c r="K8" s="126">
        <v>25</v>
      </c>
      <c r="L8" s="127">
        <v>0</v>
      </c>
      <c r="M8" s="127">
        <f>SUM(D8:L8)</f>
        <v>75</v>
      </c>
    </row>
    <row r="9" spans="2:15" x14ac:dyDescent="0.3">
      <c r="C9" s="38" t="s">
        <v>20</v>
      </c>
      <c r="D9" s="126">
        <v>6</v>
      </c>
      <c r="E9" s="126">
        <v>4</v>
      </c>
      <c r="F9" s="126">
        <v>21</v>
      </c>
      <c r="G9" s="126">
        <v>55</v>
      </c>
      <c r="H9" s="127">
        <v>21</v>
      </c>
      <c r="I9" s="126">
        <v>1</v>
      </c>
      <c r="J9" s="126">
        <v>2</v>
      </c>
      <c r="K9" s="126">
        <v>24</v>
      </c>
      <c r="L9" s="127">
        <v>4</v>
      </c>
      <c r="M9" s="127">
        <f>SUM(D9:L9)</f>
        <v>138</v>
      </c>
    </row>
    <row r="10" spans="2:15" x14ac:dyDescent="0.3">
      <c r="C10" s="38" t="s">
        <v>21</v>
      </c>
      <c r="D10" s="127">
        <v>118</v>
      </c>
      <c r="E10" s="126">
        <v>58</v>
      </c>
      <c r="F10" s="126">
        <v>254</v>
      </c>
      <c r="G10" s="126">
        <v>268</v>
      </c>
      <c r="H10" s="127">
        <v>148</v>
      </c>
      <c r="I10" s="126">
        <v>13</v>
      </c>
      <c r="J10" s="126">
        <v>9</v>
      </c>
      <c r="K10" s="126">
        <v>473</v>
      </c>
      <c r="L10" s="127">
        <v>145</v>
      </c>
      <c r="M10" s="127">
        <f>SUM(D10:L10)</f>
        <v>1486</v>
      </c>
    </row>
    <row r="11" spans="2:15" x14ac:dyDescent="0.3">
      <c r="C11" s="38" t="s">
        <v>12</v>
      </c>
      <c r="D11" s="127">
        <f t="shared" ref="D11:M11" si="0">SUM(D6:D10)</f>
        <v>196</v>
      </c>
      <c r="E11" s="126">
        <f t="shared" si="0"/>
        <v>64</v>
      </c>
      <c r="F11" s="127">
        <f t="shared" si="0"/>
        <v>440</v>
      </c>
      <c r="G11" s="127">
        <f t="shared" si="0"/>
        <v>601</v>
      </c>
      <c r="H11" s="127">
        <f t="shared" si="0"/>
        <v>264</v>
      </c>
      <c r="I11" s="126">
        <f t="shared" si="0"/>
        <v>16</v>
      </c>
      <c r="J11" s="126">
        <f t="shared" si="0"/>
        <v>15</v>
      </c>
      <c r="K11" s="126">
        <f t="shared" si="0"/>
        <v>607</v>
      </c>
      <c r="L11" s="126">
        <f t="shared" si="0"/>
        <v>209</v>
      </c>
      <c r="M11" s="127">
        <f t="shared" si="0"/>
        <v>2412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37" t="s">
        <v>24</v>
      </c>
      <c r="D16" s="126">
        <v>74</v>
      </c>
      <c r="E16" s="126">
        <v>2</v>
      </c>
      <c r="F16" s="126">
        <v>134</v>
      </c>
      <c r="G16" s="127">
        <v>195</v>
      </c>
      <c r="H16" s="127">
        <v>206</v>
      </c>
      <c r="I16" s="127">
        <v>40</v>
      </c>
      <c r="J16" s="127">
        <v>20</v>
      </c>
      <c r="K16" s="127">
        <v>229</v>
      </c>
      <c r="L16" s="127">
        <v>24</v>
      </c>
      <c r="M16" s="127">
        <f t="shared" ref="M16:M21" si="1">SUM(D16:L16)</f>
        <v>924</v>
      </c>
    </row>
    <row r="17" spans="2:13" x14ac:dyDescent="0.3">
      <c r="C17" s="38" t="s">
        <v>25</v>
      </c>
      <c r="D17" s="126">
        <v>19</v>
      </c>
      <c r="E17" s="126">
        <v>0</v>
      </c>
      <c r="F17" s="127">
        <v>30</v>
      </c>
      <c r="G17" s="126">
        <v>61</v>
      </c>
      <c r="H17" s="126">
        <v>56</v>
      </c>
      <c r="I17" s="126">
        <v>8</v>
      </c>
      <c r="J17" s="126">
        <v>7</v>
      </c>
      <c r="K17" s="126">
        <v>44</v>
      </c>
      <c r="L17" s="126">
        <v>38</v>
      </c>
      <c r="M17" s="127">
        <f t="shared" si="1"/>
        <v>263</v>
      </c>
    </row>
    <row r="18" spans="2:13" x14ac:dyDescent="0.3">
      <c r="C18" s="38" t="s">
        <v>26</v>
      </c>
      <c r="D18" s="126">
        <v>142</v>
      </c>
      <c r="E18" s="126">
        <v>249</v>
      </c>
      <c r="F18" s="126">
        <v>461</v>
      </c>
      <c r="G18" s="126">
        <v>214</v>
      </c>
      <c r="H18" s="127">
        <v>245</v>
      </c>
      <c r="I18" s="127">
        <v>5</v>
      </c>
      <c r="J18" s="126">
        <v>85</v>
      </c>
      <c r="K18" s="126">
        <v>293</v>
      </c>
      <c r="L18" s="127">
        <v>102</v>
      </c>
      <c r="M18" s="127">
        <f t="shared" si="1"/>
        <v>1796</v>
      </c>
    </row>
    <row r="19" spans="2:13" x14ac:dyDescent="0.3">
      <c r="C19" s="38" t="s">
        <v>27</v>
      </c>
      <c r="D19" s="126">
        <v>22</v>
      </c>
      <c r="E19" s="126">
        <v>48</v>
      </c>
      <c r="F19" s="126">
        <v>12</v>
      </c>
      <c r="G19" s="126">
        <v>32</v>
      </c>
      <c r="H19" s="127">
        <v>46</v>
      </c>
      <c r="I19" s="126">
        <v>28</v>
      </c>
      <c r="J19" s="126">
        <v>3</v>
      </c>
      <c r="K19" s="126">
        <v>10</v>
      </c>
      <c r="L19" s="127">
        <v>18</v>
      </c>
      <c r="M19" s="127">
        <f t="shared" si="1"/>
        <v>219</v>
      </c>
    </row>
    <row r="20" spans="2:13" x14ac:dyDescent="0.3">
      <c r="C20" s="38" t="s">
        <v>28</v>
      </c>
      <c r="D20" s="126">
        <f t="shared" ref="D20:H20" si="2">D59</f>
        <v>2</v>
      </c>
      <c r="E20" s="126">
        <f t="shared" si="2"/>
        <v>0</v>
      </c>
      <c r="F20" s="126">
        <f t="shared" si="2"/>
        <v>6</v>
      </c>
      <c r="G20" s="126">
        <f t="shared" si="2"/>
        <v>12</v>
      </c>
      <c r="H20" s="126">
        <f t="shared" si="2"/>
        <v>10</v>
      </c>
      <c r="I20" s="126">
        <f>I59</f>
        <v>2</v>
      </c>
      <c r="J20" s="126">
        <f t="shared" ref="J20:L20" si="3">J59</f>
        <v>4</v>
      </c>
      <c r="K20" s="126">
        <f t="shared" si="3"/>
        <v>18</v>
      </c>
      <c r="L20" s="126">
        <f t="shared" si="3"/>
        <v>1</v>
      </c>
      <c r="M20" s="127">
        <f t="shared" si="1"/>
        <v>55</v>
      </c>
    </row>
    <row r="21" spans="2:13" x14ac:dyDescent="0.3">
      <c r="C21" s="38" t="s">
        <v>12</v>
      </c>
      <c r="D21" s="127">
        <f t="shared" ref="D21:L21" si="4">SUM(D16:D20)</f>
        <v>259</v>
      </c>
      <c r="E21" s="126">
        <f t="shared" si="4"/>
        <v>299</v>
      </c>
      <c r="F21" s="127">
        <f t="shared" si="4"/>
        <v>643</v>
      </c>
      <c r="G21" s="127">
        <f t="shared" si="4"/>
        <v>514</v>
      </c>
      <c r="H21" s="127">
        <f t="shared" si="4"/>
        <v>563</v>
      </c>
      <c r="I21" s="126">
        <f>SUM(I16:I20)</f>
        <v>83</v>
      </c>
      <c r="J21" s="126">
        <f t="shared" si="4"/>
        <v>119</v>
      </c>
      <c r="K21" s="126">
        <f t="shared" si="4"/>
        <v>594</v>
      </c>
      <c r="L21" s="126">
        <f t="shared" si="4"/>
        <v>183</v>
      </c>
      <c r="M21" s="127">
        <f t="shared" si="1"/>
        <v>3257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1</v>
      </c>
      <c r="G23" s="126">
        <v>0</v>
      </c>
      <c r="H23" s="126">
        <v>0</v>
      </c>
      <c r="I23" s="126">
        <v>0</v>
      </c>
      <c r="J23" s="126">
        <v>0</v>
      </c>
      <c r="K23" s="126">
        <v>1</v>
      </c>
      <c r="L23" s="126">
        <v>1</v>
      </c>
      <c r="M23" s="126">
        <f>SUM(D23:L23)</f>
        <v>3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16</v>
      </c>
      <c r="G24" s="126">
        <v>0</v>
      </c>
      <c r="H24" s="126">
        <v>0</v>
      </c>
      <c r="I24" s="126">
        <v>0</v>
      </c>
      <c r="J24" s="126">
        <v>0</v>
      </c>
      <c r="K24" s="126">
        <v>17</v>
      </c>
      <c r="L24" s="126">
        <v>18</v>
      </c>
      <c r="M24" s="134">
        <f>SUM(D24:L24)</f>
        <v>51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59">
        <v>1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59">
        <v>4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/>
      <c r="E31" s="126"/>
      <c r="F31" s="126"/>
      <c r="G31" s="127"/>
      <c r="H31" s="127"/>
      <c r="I31" s="127"/>
      <c r="J31" s="127"/>
      <c r="K31" s="127"/>
      <c r="L31" s="127"/>
      <c r="M31" s="127">
        <f t="shared" ref="M31:M58" si="5">SUM(D31:L31)</f>
        <v>0</v>
      </c>
    </row>
    <row r="32" spans="2:13" x14ac:dyDescent="0.3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5"/>
        <v>0</v>
      </c>
    </row>
    <row r="33" spans="3:13" x14ac:dyDescent="0.3">
      <c r="C33" s="38" t="s">
        <v>35</v>
      </c>
      <c r="D33" s="126"/>
      <c r="E33" s="126"/>
      <c r="F33" s="126"/>
      <c r="G33" s="126"/>
      <c r="H33" s="127"/>
      <c r="I33" s="127"/>
      <c r="J33" s="126"/>
      <c r="K33" s="126"/>
      <c r="L33" s="127"/>
      <c r="M33" s="127">
        <f t="shared" si="5"/>
        <v>0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5"/>
        <v>0</v>
      </c>
    </row>
    <row r="35" spans="3:13" x14ac:dyDescent="0.3">
      <c r="C35" s="38" t="s">
        <v>37</v>
      </c>
      <c r="D35" s="127"/>
      <c r="E35" s="126"/>
      <c r="F35" s="126"/>
      <c r="G35" s="126"/>
      <c r="H35" s="127"/>
      <c r="I35" s="126"/>
      <c r="J35" s="126"/>
      <c r="K35" s="126"/>
      <c r="L35" s="127"/>
      <c r="M35" s="127">
        <f t="shared" si="5"/>
        <v>0</v>
      </c>
    </row>
    <row r="36" spans="3:13" x14ac:dyDescent="0.3">
      <c r="C36" s="38" t="s">
        <v>38</v>
      </c>
      <c r="D36" s="127"/>
      <c r="E36" s="126"/>
      <c r="F36" s="127"/>
      <c r="G36" s="127"/>
      <c r="H36" s="127"/>
      <c r="I36" s="126"/>
      <c r="J36" s="126"/>
      <c r="K36" s="126"/>
      <c r="L36" s="126"/>
      <c r="M36" s="127">
        <f t="shared" si="5"/>
        <v>0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5"/>
        <v>0</v>
      </c>
    </row>
    <row r="40" spans="3:13" x14ac:dyDescent="0.3">
      <c r="C40" s="38" t="s">
        <v>42</v>
      </c>
      <c r="D40" s="126"/>
      <c r="E40" s="126"/>
      <c r="F40" s="127"/>
      <c r="G40" s="127"/>
      <c r="H40" s="127"/>
      <c r="I40" s="127"/>
      <c r="J40" s="126"/>
      <c r="K40" s="126"/>
      <c r="L40" s="127"/>
      <c r="M40" s="127">
        <f t="shared" si="5"/>
        <v>0</v>
      </c>
    </row>
    <row r="41" spans="3:13" x14ac:dyDescent="0.3">
      <c r="C41" s="38" t="s">
        <v>43</v>
      </c>
      <c r="D41" s="126"/>
      <c r="E41" s="126"/>
      <c r="F41" s="127"/>
      <c r="G41" s="127"/>
      <c r="H41" s="127"/>
      <c r="I41" s="127"/>
      <c r="J41" s="126"/>
      <c r="K41" s="126"/>
      <c r="L41" s="127"/>
      <c r="M41" s="127">
        <f t="shared" si="5"/>
        <v>0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5"/>
        <v>0</v>
      </c>
    </row>
    <row r="43" spans="3:13" x14ac:dyDescent="0.3">
      <c r="C43" s="37" t="s">
        <v>45</v>
      </c>
      <c r="D43" s="126">
        <v>1</v>
      </c>
      <c r="E43" s="126"/>
      <c r="F43" s="127">
        <v>5</v>
      </c>
      <c r="G43" s="127">
        <v>3</v>
      </c>
      <c r="H43" s="127">
        <v>3</v>
      </c>
      <c r="I43" s="127"/>
      <c r="J43" s="127">
        <v>2</v>
      </c>
      <c r="K43" s="127"/>
      <c r="L43" s="127"/>
      <c r="M43" s="127">
        <f t="shared" si="5"/>
        <v>14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5"/>
        <v>0</v>
      </c>
    </row>
    <row r="48" spans="3:13" x14ac:dyDescent="0.3">
      <c r="C48" s="37" t="s">
        <v>50</v>
      </c>
      <c r="D48" s="127"/>
      <c r="E48" s="127"/>
      <c r="F48" s="127">
        <v>1</v>
      </c>
      <c r="G48" s="127">
        <v>7</v>
      </c>
      <c r="H48" s="127">
        <v>6</v>
      </c>
      <c r="I48" s="127"/>
      <c r="J48" s="127">
        <v>2</v>
      </c>
      <c r="K48" s="127">
        <v>17</v>
      </c>
      <c r="L48" s="127">
        <v>1</v>
      </c>
      <c r="M48" s="127">
        <f t="shared" si="5"/>
        <v>34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5"/>
        <v>0</v>
      </c>
    </row>
    <row r="51" spans="2:14" x14ac:dyDescent="0.3">
      <c r="C51" s="38" t="s">
        <v>53</v>
      </c>
      <c r="D51" s="127">
        <v>1</v>
      </c>
      <c r="E51" s="126"/>
      <c r="F51" s="127"/>
      <c r="G51" s="127"/>
      <c r="H51" s="127"/>
      <c r="I51" s="127"/>
      <c r="J51" s="127"/>
      <c r="K51" s="127"/>
      <c r="L51" s="127"/>
      <c r="M51" s="127">
        <f t="shared" si="5"/>
        <v>1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5"/>
        <v>0</v>
      </c>
    </row>
    <row r="53" spans="2:14" x14ac:dyDescent="0.3">
      <c r="C53" s="38" t="s">
        <v>167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5"/>
        <v>0</v>
      </c>
    </row>
    <row r="54" spans="2:14" x14ac:dyDescent="0.3">
      <c r="C54" s="38" t="s">
        <v>55</v>
      </c>
      <c r="D54" s="127"/>
      <c r="E54" s="126"/>
      <c r="F54" s="127"/>
      <c r="G54" s="127"/>
      <c r="H54" s="127"/>
      <c r="I54" s="127"/>
      <c r="J54" s="127"/>
      <c r="K54" s="127"/>
      <c r="L54" s="127"/>
      <c r="M54" s="127">
        <f t="shared" si="5"/>
        <v>0</v>
      </c>
    </row>
    <row r="55" spans="2:14" x14ac:dyDescent="0.3">
      <c r="C55" s="38" t="s">
        <v>56</v>
      </c>
      <c r="D55" s="126"/>
      <c r="E55" s="126"/>
      <c r="F55" s="126"/>
      <c r="G55" s="127"/>
      <c r="H55" s="126"/>
      <c r="I55" s="127"/>
      <c r="J55" s="127"/>
      <c r="K55" s="127"/>
      <c r="L55" s="127"/>
      <c r="M55" s="127">
        <f t="shared" si="5"/>
        <v>0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5"/>
        <v>0</v>
      </c>
    </row>
    <row r="57" spans="2:14" x14ac:dyDescent="0.3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5"/>
        <v>0</v>
      </c>
    </row>
    <row r="58" spans="2:14" ht="15" thickBot="1" x14ac:dyDescent="0.35">
      <c r="C58" s="118" t="s">
        <v>59</v>
      </c>
      <c r="D58" s="145"/>
      <c r="E58" s="128"/>
      <c r="F58" s="128"/>
      <c r="G58" s="128">
        <v>2</v>
      </c>
      <c r="H58" s="128">
        <v>1</v>
      </c>
      <c r="I58" s="128">
        <v>2</v>
      </c>
      <c r="J58" s="128"/>
      <c r="K58" s="128">
        <v>1</v>
      </c>
      <c r="L58" s="128"/>
      <c r="M58" s="144">
        <f t="shared" si="5"/>
        <v>6</v>
      </c>
    </row>
    <row r="59" spans="2:14" ht="15" thickTop="1" x14ac:dyDescent="0.3">
      <c r="C59" s="36" t="s">
        <v>29</v>
      </c>
      <c r="D59" s="143">
        <f t="shared" ref="D59:M59" si="6">SUM(D31:D58)</f>
        <v>2</v>
      </c>
      <c r="E59" s="143">
        <f>SUM(E31:E58)</f>
        <v>0</v>
      </c>
      <c r="F59" s="143">
        <f t="shared" si="6"/>
        <v>6</v>
      </c>
      <c r="G59" s="143">
        <f t="shared" si="6"/>
        <v>12</v>
      </c>
      <c r="H59" s="143">
        <f t="shared" si="6"/>
        <v>10</v>
      </c>
      <c r="I59" s="143">
        <f t="shared" si="6"/>
        <v>2</v>
      </c>
      <c r="J59" s="143">
        <f t="shared" si="6"/>
        <v>4</v>
      </c>
      <c r="K59" s="143">
        <f t="shared" si="6"/>
        <v>18</v>
      </c>
      <c r="L59" s="143">
        <f t="shared" si="6"/>
        <v>1</v>
      </c>
      <c r="M59" s="143">
        <f t="shared" si="6"/>
        <v>55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3366</v>
      </c>
      <c r="E64" s="125">
        <v>79</v>
      </c>
      <c r="F64" s="124">
        <v>12804</v>
      </c>
      <c r="G64" s="125">
        <v>11870</v>
      </c>
      <c r="H64" s="125">
        <v>9029</v>
      </c>
      <c r="I64" s="125">
        <v>103</v>
      </c>
      <c r="J64" s="125">
        <v>57</v>
      </c>
      <c r="K64" s="125">
        <v>11558</v>
      </c>
      <c r="L64" s="125">
        <v>1832</v>
      </c>
      <c r="M64" s="21">
        <f>SUM(D64:L64)</f>
        <v>50698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98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144</v>
      </c>
      <c r="N68" s="16"/>
    </row>
    <row r="69" spans="2:14" x14ac:dyDescent="0.3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136">
        <v>44531</v>
      </c>
      <c r="D70" s="129">
        <f>64+39+23+22</f>
        <v>148</v>
      </c>
      <c r="E70" s="129">
        <v>989</v>
      </c>
      <c r="F70" s="135">
        <f>40+13+8+77+5+30+67+1</f>
        <v>241</v>
      </c>
      <c r="G70" s="135">
        <f>48+3+18+4+1+5+4+5+2+16+11+4+64+3+4+2+9+3+11+2+6+19+15+4+8+1+15+1+20+7+1+6+3+11+6+8+3+24+5+1+1+2+3+32</f>
        <v>421</v>
      </c>
      <c r="H70" s="129">
        <v>52</v>
      </c>
      <c r="I70" s="135">
        <f>21+191+4436</f>
        <v>4648</v>
      </c>
      <c r="J70" s="135">
        <v>14</v>
      </c>
      <c r="K70" s="129">
        <v>17</v>
      </c>
      <c r="L70" s="135">
        <v>222</v>
      </c>
      <c r="M70" s="129">
        <f>5086+179</f>
        <v>5265</v>
      </c>
      <c r="N70" s="130">
        <f>SUM(C70:M70)</f>
        <v>56548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5086</v>
      </c>
    </row>
    <row r="73" spans="2:14" x14ac:dyDescent="0.3">
      <c r="B73" s="10"/>
      <c r="C73" s="6" t="s">
        <v>264</v>
      </c>
      <c r="D73" s="7"/>
      <c r="E73" s="8">
        <v>200</v>
      </c>
      <c r="F73" s="10"/>
      <c r="G73" s="10"/>
      <c r="H73" s="12"/>
      <c r="I73" s="10"/>
      <c r="K73" s="10"/>
      <c r="L73" s="10" t="s">
        <v>147</v>
      </c>
      <c r="M73" s="10"/>
      <c r="N73">
        <f>36+31+60+37+15</f>
        <v>179</v>
      </c>
    </row>
    <row r="74" spans="2:14" x14ac:dyDescent="0.3">
      <c r="C74" s="42" t="s">
        <v>79</v>
      </c>
      <c r="D74" s="43"/>
      <c r="E74" s="31">
        <v>319</v>
      </c>
      <c r="I74" s="10"/>
      <c r="K74" s="10"/>
      <c r="L74" s="10"/>
      <c r="M74" s="10"/>
    </row>
    <row r="75" spans="2:14" x14ac:dyDescent="0.3">
      <c r="C75" s="44" t="s">
        <v>82</v>
      </c>
      <c r="D75" s="47"/>
      <c r="E75" s="16">
        <v>289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6" t="s">
        <v>117</v>
      </c>
      <c r="D77" s="49"/>
      <c r="E77" s="10"/>
      <c r="I77" s="10"/>
    </row>
    <row r="78" spans="2:14" x14ac:dyDescent="0.3">
      <c r="C78" s="51" t="s">
        <v>118</v>
      </c>
      <c r="D78" s="166">
        <v>554</v>
      </c>
      <c r="E78" s="10"/>
      <c r="I78" s="10"/>
    </row>
    <row r="79" spans="2:14" x14ac:dyDescent="0.3">
      <c r="C79" s="53" t="s">
        <v>108</v>
      </c>
      <c r="D79" s="56">
        <v>1324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123" t="s">
        <v>77</v>
      </c>
      <c r="D81" s="105"/>
      <c r="E81" s="8">
        <v>8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11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0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6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10" t="s">
        <v>179</v>
      </c>
      <c r="D89" s="126">
        <v>89</v>
      </c>
      <c r="E89" s="126">
        <v>8</v>
      </c>
      <c r="F89" s="126">
        <v>241</v>
      </c>
      <c r="G89" s="167">
        <v>438</v>
      </c>
      <c r="H89" s="167">
        <v>108</v>
      </c>
      <c r="I89" s="167">
        <v>0</v>
      </c>
      <c r="J89" s="167">
        <v>0</v>
      </c>
      <c r="K89" s="167">
        <v>255</v>
      </c>
      <c r="L89" s="167">
        <v>16</v>
      </c>
      <c r="M89" s="168">
        <v>0</v>
      </c>
      <c r="N89" s="119">
        <f>SUM(D89:M89)</f>
        <v>1155</v>
      </c>
    </row>
    <row r="90" spans="2:14" x14ac:dyDescent="0.3">
      <c r="B90" s="9"/>
      <c r="C90" s="12" t="s">
        <v>13</v>
      </c>
      <c r="D90" s="126">
        <v>20</v>
      </c>
      <c r="E90" s="126">
        <v>0</v>
      </c>
      <c r="F90" s="126">
        <v>7</v>
      </c>
      <c r="G90" s="167">
        <v>73</v>
      </c>
      <c r="H90" s="167">
        <v>6</v>
      </c>
      <c r="I90" s="167">
        <v>0</v>
      </c>
      <c r="J90" s="167">
        <v>0</v>
      </c>
      <c r="K90" s="167">
        <v>24</v>
      </c>
      <c r="L90" s="167">
        <v>0</v>
      </c>
      <c r="M90" s="167">
        <v>7</v>
      </c>
      <c r="N90" s="119">
        <f>SUM(D90:M90)</f>
        <v>137</v>
      </c>
    </row>
    <row r="91" spans="2:14" ht="15" thickBot="1" x14ac:dyDescent="0.35">
      <c r="B91" s="9"/>
      <c r="C91" s="12" t="s">
        <v>14</v>
      </c>
      <c r="D91" s="128">
        <v>0</v>
      </c>
      <c r="E91" s="128">
        <v>3</v>
      </c>
      <c r="F91" s="128">
        <v>16</v>
      </c>
      <c r="G91" s="128">
        <v>53</v>
      </c>
      <c r="H91" s="128">
        <v>5</v>
      </c>
      <c r="I91" s="128">
        <v>0</v>
      </c>
      <c r="J91" s="128">
        <v>0</v>
      </c>
      <c r="K91" s="128">
        <v>39</v>
      </c>
      <c r="L91" s="128">
        <v>23</v>
      </c>
      <c r="M91" s="169">
        <v>0</v>
      </c>
      <c r="N91" s="120">
        <f>SUM(D91:M91)</f>
        <v>139</v>
      </c>
    </row>
    <row r="92" spans="2:14" ht="15" thickTop="1" x14ac:dyDescent="0.3">
      <c r="B92" s="13"/>
      <c r="C92" s="14" t="s">
        <v>12</v>
      </c>
      <c r="D92" s="143">
        <f>SUM(D89:D91)</f>
        <v>109</v>
      </c>
      <c r="E92" s="143">
        <f t="shared" ref="E92:M92" si="7">SUM(E89:E91)</f>
        <v>11</v>
      </c>
      <c r="F92" s="143">
        <f t="shared" si="7"/>
        <v>264</v>
      </c>
      <c r="G92" s="143">
        <f t="shared" si="7"/>
        <v>564</v>
      </c>
      <c r="H92" s="143">
        <f t="shared" si="7"/>
        <v>119</v>
      </c>
      <c r="I92" s="143">
        <f t="shared" si="7"/>
        <v>0</v>
      </c>
      <c r="J92" s="143">
        <f t="shared" si="7"/>
        <v>0</v>
      </c>
      <c r="K92" s="143">
        <f t="shared" si="7"/>
        <v>318</v>
      </c>
      <c r="L92" s="143">
        <f t="shared" si="7"/>
        <v>39</v>
      </c>
      <c r="M92" s="143">
        <f t="shared" si="7"/>
        <v>7</v>
      </c>
      <c r="N92" s="170">
        <f>SUM(N89,N91)</f>
        <v>1294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5</v>
      </c>
      <c r="E95" s="126">
        <v>3</v>
      </c>
      <c r="F95" s="126">
        <v>9</v>
      </c>
      <c r="G95" s="150">
        <v>41</v>
      </c>
      <c r="H95" s="150">
        <v>7</v>
      </c>
      <c r="I95" s="150">
        <v>0</v>
      </c>
      <c r="J95" s="150">
        <v>0</v>
      </c>
      <c r="K95" s="150">
        <v>30</v>
      </c>
      <c r="L95" s="150">
        <v>1</v>
      </c>
      <c r="M95" s="150">
        <f>SUM(D95:L95)</f>
        <v>96</v>
      </c>
      <c r="N95" s="10"/>
    </row>
    <row r="96" spans="2:14" ht="15" thickBot="1" x14ac:dyDescent="0.35">
      <c r="B96" s="365" t="s">
        <v>177</v>
      </c>
      <c r="C96" s="380"/>
      <c r="D96" s="128">
        <v>0</v>
      </c>
      <c r="E96" s="128">
        <v>0</v>
      </c>
      <c r="F96" s="128">
        <v>0</v>
      </c>
      <c r="G96" s="174">
        <v>33</v>
      </c>
      <c r="H96" s="174">
        <v>1</v>
      </c>
      <c r="I96" s="174">
        <v>28</v>
      </c>
      <c r="J96" s="174">
        <v>0</v>
      </c>
      <c r="K96" s="174">
        <f>66+11+69+59+69</f>
        <v>274</v>
      </c>
      <c r="L96" s="174">
        <v>0</v>
      </c>
      <c r="M96" s="174">
        <f>SUM(D96:L96)</f>
        <v>336</v>
      </c>
      <c r="N96" s="10"/>
    </row>
    <row r="97" spans="1:15" ht="15" thickTop="1" x14ac:dyDescent="0.3">
      <c r="B97" s="28"/>
      <c r="C97" s="190" t="s">
        <v>29</v>
      </c>
      <c r="D97" s="171">
        <f t="shared" ref="D97:M97" si="8">SUM(D95:D96)</f>
        <v>5</v>
      </c>
      <c r="E97" s="171">
        <f t="shared" si="8"/>
        <v>3</v>
      </c>
      <c r="F97" s="171">
        <f t="shared" si="8"/>
        <v>9</v>
      </c>
      <c r="G97" s="171">
        <f t="shared" si="8"/>
        <v>74</v>
      </c>
      <c r="H97" s="171">
        <f t="shared" si="8"/>
        <v>8</v>
      </c>
      <c r="I97" s="172">
        <f t="shared" si="8"/>
        <v>28</v>
      </c>
      <c r="J97" s="171">
        <f t="shared" si="8"/>
        <v>0</v>
      </c>
      <c r="K97" s="171">
        <f t="shared" si="8"/>
        <v>304</v>
      </c>
      <c r="L97" s="171">
        <f t="shared" si="8"/>
        <v>1</v>
      </c>
      <c r="M97" s="173">
        <f t="shared" si="8"/>
        <v>432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43">
        <v>0</v>
      </c>
      <c r="E99" s="143">
        <v>0</v>
      </c>
      <c r="F99" s="143">
        <v>5</v>
      </c>
      <c r="G99" s="151">
        <v>12</v>
      </c>
      <c r="H99" s="151">
        <v>0</v>
      </c>
      <c r="I99" s="151">
        <v>0</v>
      </c>
      <c r="J99" s="151">
        <v>0</v>
      </c>
      <c r="K99" s="151">
        <v>34</v>
      </c>
      <c r="L99" s="151">
        <v>2</v>
      </c>
      <c r="M99" s="151">
        <f>SUM(D99:L99)</f>
        <v>53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1:15" x14ac:dyDescent="0.3">
      <c r="B104" s="374" t="s">
        <v>23</v>
      </c>
      <c r="C104" s="375"/>
      <c r="D104" s="131">
        <v>21</v>
      </c>
      <c r="E104" s="131">
        <v>0</v>
      </c>
      <c r="F104" s="131">
        <v>15</v>
      </c>
      <c r="G104" s="131">
        <v>72.14</v>
      </c>
      <c r="H104" s="131">
        <v>5.5</v>
      </c>
      <c r="I104" s="131">
        <v>0</v>
      </c>
      <c r="J104" s="131">
        <v>0</v>
      </c>
      <c r="K104" s="131">
        <v>29</v>
      </c>
      <c r="L104" s="131">
        <v>13</v>
      </c>
      <c r="M104" s="132">
        <v>0</v>
      </c>
      <c r="N104" s="133">
        <f>SUM(D104:M104)</f>
        <v>155.63999999999999</v>
      </c>
    </row>
    <row r="105" spans="1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6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30">
        <v>579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30">
        <v>137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30">
        <v>31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30">
        <v>19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6">
        <v>0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44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38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0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308+47</f>
        <v>355</v>
      </c>
    </row>
    <row r="120" spans="2:14" x14ac:dyDescent="0.3">
      <c r="C120" s="9" t="s">
        <v>20</v>
      </c>
      <c r="D120" s="10"/>
      <c r="E120" s="137">
        <f>140+52</f>
        <v>192</v>
      </c>
    </row>
    <row r="121" spans="2:14" x14ac:dyDescent="0.3">
      <c r="C121" s="9" t="s">
        <v>19</v>
      </c>
      <c r="D121" s="10"/>
      <c r="E121" s="137">
        <v>35</v>
      </c>
    </row>
    <row r="122" spans="2:14" x14ac:dyDescent="0.3">
      <c r="C122" s="9" t="s">
        <v>93</v>
      </c>
      <c r="D122" s="10"/>
      <c r="E122" s="137">
        <f>465+31</f>
        <v>496</v>
      </c>
    </row>
    <row r="123" spans="2:14" x14ac:dyDescent="0.3">
      <c r="C123" s="13" t="s">
        <v>96</v>
      </c>
      <c r="D123" s="15"/>
      <c r="E123" s="138">
        <v>0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v>7</v>
      </c>
    </row>
    <row r="127" spans="2:14" x14ac:dyDescent="0.3">
      <c r="C127" s="51" t="s">
        <v>88</v>
      </c>
      <c r="D127" s="10"/>
      <c r="E127" s="137">
        <v>2</v>
      </c>
    </row>
    <row r="128" spans="2:14" x14ac:dyDescent="0.3">
      <c r="C128" s="51" t="s">
        <v>90</v>
      </c>
      <c r="D128" s="10"/>
      <c r="E128" s="137">
        <v>63</v>
      </c>
    </row>
    <row r="129" spans="3:15" x14ac:dyDescent="0.3">
      <c r="C129" s="51" t="s">
        <v>92</v>
      </c>
      <c r="D129" s="12"/>
      <c r="E129" s="137">
        <f>784+71+5</f>
        <v>860</v>
      </c>
    </row>
    <row r="130" spans="3:15" x14ac:dyDescent="0.3">
      <c r="C130" s="51" t="s">
        <v>95</v>
      </c>
      <c r="D130" s="12"/>
      <c r="E130" s="137">
        <f>40+33+6+3+13</f>
        <v>95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v>5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v>22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51" t="s">
        <v>100</v>
      </c>
      <c r="D133" s="10"/>
      <c r="E133" s="137">
        <v>6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>
        <v>0</v>
      </c>
    </row>
    <row r="137" spans="3:15" x14ac:dyDescent="0.3">
      <c r="C137" s="50" t="s">
        <v>25</v>
      </c>
      <c r="D137" s="10"/>
      <c r="E137" s="139">
        <v>15</v>
      </c>
    </row>
    <row r="138" spans="3:15" x14ac:dyDescent="0.3">
      <c r="C138" s="50" t="s">
        <v>149</v>
      </c>
      <c r="D138" s="10"/>
      <c r="E138" s="139">
        <v>0</v>
      </c>
    </row>
    <row r="139" spans="3:15" x14ac:dyDescent="0.3">
      <c r="C139" s="52" t="s">
        <v>26</v>
      </c>
      <c r="D139" s="15"/>
      <c r="E139" s="138">
        <f>344+57+107</f>
        <v>508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191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7</v>
      </c>
      <c r="F144" s="126">
        <v>0</v>
      </c>
      <c r="G144" s="157">
        <f>SUM(E144:F144)</f>
        <v>7</v>
      </c>
    </row>
    <row r="145" spans="2:14" x14ac:dyDescent="0.3">
      <c r="C145" s="199" t="s">
        <v>13</v>
      </c>
      <c r="D145" s="163"/>
      <c r="E145" s="126">
        <v>0</v>
      </c>
      <c r="F145" s="126" t="s">
        <v>126</v>
      </c>
      <c r="G145" s="157">
        <f t="shared" ref="G145:G148" si="9">SUM(E145:F145)</f>
        <v>0</v>
      </c>
    </row>
    <row r="146" spans="2:14" x14ac:dyDescent="0.3">
      <c r="C146" s="199" t="s">
        <v>122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3">
      <c r="C147" s="158" t="s">
        <v>124</v>
      </c>
      <c r="D147" s="162"/>
      <c r="E147" s="127">
        <v>43</v>
      </c>
      <c r="F147" s="127">
        <v>0</v>
      </c>
      <c r="G147" s="157">
        <f t="shared" si="9"/>
        <v>43</v>
      </c>
      <c r="L147" s="10"/>
      <c r="M147" s="29"/>
    </row>
    <row r="148" spans="2:14" x14ac:dyDescent="0.3">
      <c r="C148" s="159" t="s">
        <v>13</v>
      </c>
      <c r="D148" s="158"/>
      <c r="E148" s="127">
        <v>1</v>
      </c>
      <c r="F148" s="127" t="s">
        <v>126</v>
      </c>
      <c r="G148" s="157">
        <f t="shared" si="9"/>
        <v>1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69.599999999999994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115" t="s">
        <v>153</v>
      </c>
    </row>
    <row r="152" spans="2:14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4.75" customHeight="1" x14ac:dyDescent="0.3">
      <c r="B153" s="399"/>
      <c r="C153" s="400"/>
      <c r="D153" s="385"/>
      <c r="E153" s="386"/>
      <c r="F153" s="106"/>
    </row>
    <row r="154" spans="2:14" ht="27.75" customHeight="1" x14ac:dyDescent="0.3">
      <c r="B154" s="372" t="s">
        <v>169</v>
      </c>
      <c r="C154" s="373"/>
      <c r="D154" s="370">
        <v>44</v>
      </c>
      <c r="E154" s="371"/>
      <c r="F154" s="107"/>
    </row>
    <row r="155" spans="2:14" ht="25.5" customHeight="1" x14ac:dyDescent="0.3">
      <c r="B155" s="412" t="s">
        <v>183</v>
      </c>
      <c r="C155" s="413"/>
      <c r="D155" s="370">
        <v>270</v>
      </c>
      <c r="E155" s="371"/>
      <c r="F155" s="107"/>
    </row>
    <row r="156" spans="2:14" x14ac:dyDescent="0.3">
      <c r="B156" s="372" t="s">
        <v>154</v>
      </c>
      <c r="C156" s="373"/>
      <c r="D156" s="370">
        <v>1898</v>
      </c>
      <c r="E156" s="371"/>
      <c r="F156" s="107"/>
    </row>
    <row r="157" spans="2:14" x14ac:dyDescent="0.3">
      <c r="B157" s="372" t="s">
        <v>155</v>
      </c>
      <c r="C157" s="373"/>
      <c r="D157" s="370">
        <v>42</v>
      </c>
      <c r="E157" s="371"/>
      <c r="F157" s="107"/>
    </row>
    <row r="158" spans="2:14" x14ac:dyDescent="0.3">
      <c r="B158" s="372" t="s">
        <v>156</v>
      </c>
      <c r="C158" s="373"/>
      <c r="D158" s="370">
        <v>2194</v>
      </c>
      <c r="E158" s="371"/>
      <c r="F158" s="107"/>
    </row>
    <row r="159" spans="2:14" x14ac:dyDescent="0.3">
      <c r="B159" s="372" t="s">
        <v>123</v>
      </c>
      <c r="C159" s="373"/>
      <c r="D159" s="370">
        <v>21</v>
      </c>
      <c r="E159" s="371"/>
      <c r="F159" s="107"/>
    </row>
    <row r="160" spans="2:14" x14ac:dyDescent="0.3">
      <c r="B160" s="372" t="s">
        <v>125</v>
      </c>
      <c r="C160" s="373"/>
      <c r="D160" s="370">
        <v>17</v>
      </c>
      <c r="E160" s="371"/>
      <c r="F160" s="107"/>
    </row>
    <row r="161" spans="2:15" x14ac:dyDescent="0.3">
      <c r="B161" s="372" t="s">
        <v>110</v>
      </c>
      <c r="C161" s="373"/>
      <c r="D161" s="370">
        <v>38</v>
      </c>
      <c r="E161" s="371"/>
      <c r="F161" s="107">
        <v>26</v>
      </c>
    </row>
    <row r="162" spans="2:15" x14ac:dyDescent="0.3">
      <c r="B162" s="372" t="s">
        <v>157</v>
      </c>
      <c r="C162" s="373"/>
      <c r="D162" s="370">
        <v>44</v>
      </c>
      <c r="E162" s="371"/>
      <c r="F162" s="107"/>
    </row>
    <row r="163" spans="2:15" ht="24.75" customHeight="1" x14ac:dyDescent="0.3">
      <c r="B163" s="372" t="s">
        <v>128</v>
      </c>
      <c r="C163" s="373"/>
      <c r="D163" s="370">
        <v>13</v>
      </c>
      <c r="E163" s="371"/>
      <c r="F163" s="107"/>
    </row>
    <row r="164" spans="2:15" ht="24" customHeight="1" x14ac:dyDescent="0.3">
      <c r="B164" s="395" t="s">
        <v>158</v>
      </c>
      <c r="C164" s="396"/>
      <c r="D164" s="353">
        <v>2</v>
      </c>
      <c r="E164" s="354"/>
      <c r="F164" s="108"/>
    </row>
    <row r="165" spans="2:15" ht="24.75" customHeight="1" x14ac:dyDescent="0.3">
      <c r="B165" s="395" t="s">
        <v>159</v>
      </c>
      <c r="C165" s="396"/>
      <c r="D165" s="353">
        <v>117</v>
      </c>
      <c r="E165" s="354"/>
      <c r="F165" s="108"/>
    </row>
    <row r="166" spans="2:15" ht="26.25" customHeight="1" x14ac:dyDescent="0.3">
      <c r="B166" s="397" t="s">
        <v>160</v>
      </c>
      <c r="C166" s="398"/>
      <c r="D166" s="355">
        <v>38</v>
      </c>
      <c r="E166" s="356"/>
      <c r="F166" s="109"/>
    </row>
    <row r="167" spans="2:15" ht="24.75" customHeight="1" x14ac:dyDescent="0.3">
      <c r="B167" s="387" t="s">
        <v>161</v>
      </c>
      <c r="C167" s="388"/>
      <c r="D167" s="357">
        <v>51</v>
      </c>
      <c r="E167" s="358"/>
      <c r="F167" s="110"/>
    </row>
    <row r="168" spans="2:15" ht="28.5" customHeight="1" x14ac:dyDescent="0.3">
      <c r="B168" s="387" t="s">
        <v>162</v>
      </c>
      <c r="C168" s="388"/>
      <c r="D168" s="357">
        <v>216</v>
      </c>
      <c r="E168" s="358"/>
      <c r="F168" s="110"/>
    </row>
    <row r="169" spans="2:15" ht="29.25" customHeight="1" x14ac:dyDescent="0.3">
      <c r="B169" s="389" t="s">
        <v>163</v>
      </c>
      <c r="C169" s="390"/>
      <c r="D169" s="359">
        <v>277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0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40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1</v>
      </c>
    </row>
    <row r="174" spans="2:15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5" ht="15" thickTop="1" x14ac:dyDescent="0.3">
      <c r="B175" s="164" t="s">
        <v>166</v>
      </c>
      <c r="C175" s="165"/>
      <c r="D175" s="343">
        <f>SUM(D152:E174)</f>
        <v>5322</v>
      </c>
      <c r="E175" s="344"/>
      <c r="F175" s="184">
        <f>SUM(F152:F174)</f>
        <v>27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6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26">
        <v>38</v>
      </c>
      <c r="F178" s="337">
        <v>26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v>2194</v>
      </c>
      <c r="F181" s="126"/>
      <c r="I181" s="29"/>
      <c r="J181" s="29"/>
      <c r="K181" s="54"/>
      <c r="L181" s="54"/>
      <c r="M181" s="58"/>
    </row>
    <row r="182" spans="2:14" x14ac:dyDescent="0.3">
      <c r="C182" s="345" t="s">
        <v>114</v>
      </c>
      <c r="D182" s="346"/>
      <c r="E182" s="126">
        <v>1898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40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76</v>
      </c>
      <c r="E187" s="143">
        <v>60</v>
      </c>
      <c r="F187" s="143">
        <v>388</v>
      </c>
      <c r="G187" s="177">
        <v>259</v>
      </c>
      <c r="H187" s="177">
        <v>135</v>
      </c>
      <c r="I187" s="177">
        <v>0</v>
      </c>
      <c r="J187" s="177">
        <v>66</v>
      </c>
      <c r="K187" s="177">
        <v>163</v>
      </c>
      <c r="L187" s="177">
        <v>268</v>
      </c>
      <c r="M187" s="177">
        <f>SUM(D187:L187)</f>
        <v>1415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110</v>
      </c>
      <c r="H188" s="126" t="s">
        <v>126</v>
      </c>
      <c r="I188" s="126" t="s">
        <v>126</v>
      </c>
      <c r="J188" s="126" t="s">
        <v>126</v>
      </c>
      <c r="K188" s="126">
        <v>107</v>
      </c>
      <c r="L188" s="126">
        <v>283</v>
      </c>
      <c r="M188" s="127">
        <f>SUM(D188:L188)</f>
        <v>500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0</v>
      </c>
      <c r="G189" s="128">
        <v>2</v>
      </c>
      <c r="H189" s="144">
        <v>0</v>
      </c>
      <c r="I189" s="144">
        <v>0</v>
      </c>
      <c r="J189" s="128" t="s">
        <v>126</v>
      </c>
      <c r="K189" s="128">
        <v>0</v>
      </c>
      <c r="L189" s="144">
        <v>1</v>
      </c>
      <c r="M189" s="144">
        <f>SUM(D189:L189)</f>
        <v>3</v>
      </c>
    </row>
    <row r="190" spans="2:14" ht="15" thickTop="1" x14ac:dyDescent="0.3">
      <c r="C190" s="38" t="s">
        <v>12</v>
      </c>
      <c r="D190" s="143">
        <f>SUM(D187:D189)</f>
        <v>76</v>
      </c>
      <c r="E190" s="143">
        <f>SUM(E187:E189)</f>
        <v>60</v>
      </c>
      <c r="F190" s="143">
        <f t="shared" ref="F190:L190" si="10">SUM(F187:F189)</f>
        <v>388</v>
      </c>
      <c r="G190" s="143">
        <f t="shared" si="10"/>
        <v>371</v>
      </c>
      <c r="H190" s="177">
        <f t="shared" si="10"/>
        <v>135</v>
      </c>
      <c r="I190" s="143">
        <f t="shared" si="10"/>
        <v>0</v>
      </c>
      <c r="J190" s="143">
        <f t="shared" si="10"/>
        <v>66</v>
      </c>
      <c r="K190" s="143">
        <f t="shared" si="10"/>
        <v>270</v>
      </c>
      <c r="L190" s="177">
        <f t="shared" si="10"/>
        <v>552</v>
      </c>
      <c r="M190" s="177">
        <f>SUM(D190:L190)</f>
        <v>1918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s="68" t="s">
        <v>338</v>
      </c>
      <c r="C196" s="10"/>
      <c r="D196" s="22"/>
      <c r="E196" s="22"/>
      <c r="F196" s="22"/>
      <c r="G196" s="69"/>
      <c r="H196" s="70" t="s">
        <v>313</v>
      </c>
      <c r="I196" s="71"/>
      <c r="J196" s="72"/>
      <c r="K196" s="73"/>
      <c r="L196" s="74"/>
      <c r="M196" s="74"/>
      <c r="N196" s="75"/>
    </row>
    <row r="197" spans="2:14" x14ac:dyDescent="0.3">
      <c r="B197" s="197" t="s">
        <v>334</v>
      </c>
      <c r="C197" s="22"/>
      <c r="D197" s="22"/>
      <c r="E197" s="22"/>
      <c r="F197" s="22"/>
      <c r="G197" s="72"/>
      <c r="H197" s="70" t="s">
        <v>329</v>
      </c>
      <c r="I197" s="72"/>
      <c r="J197" s="72"/>
      <c r="K197" s="72"/>
      <c r="L197" s="76"/>
      <c r="M197" s="76"/>
      <c r="N197" s="77"/>
    </row>
    <row r="198" spans="2:14" x14ac:dyDescent="0.3">
      <c r="B198" s="197" t="s">
        <v>335</v>
      </c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3">
      <c r="B199" s="9"/>
      <c r="C199" s="10"/>
      <c r="D199" s="10"/>
      <c r="E199" s="10"/>
      <c r="F199" s="10"/>
      <c r="G199" s="10"/>
      <c r="H199" s="79"/>
      <c r="I199" s="10"/>
      <c r="J199" s="10"/>
      <c r="K199" s="10"/>
      <c r="L199" s="10"/>
      <c r="M199" s="10"/>
      <c r="N199" s="30"/>
    </row>
    <row r="200" spans="2:14" ht="17.399999999999999" x14ac:dyDescent="0.3">
      <c r="B200" s="78" t="s">
        <v>136</v>
      </c>
      <c r="C200" s="82"/>
      <c r="D200" s="22"/>
      <c r="E200" s="22"/>
      <c r="F200" s="22"/>
      <c r="G200" s="72"/>
      <c r="H200" s="79" t="s">
        <v>95</v>
      </c>
      <c r="I200" s="72"/>
      <c r="J200" s="71"/>
      <c r="K200" s="83"/>
      <c r="L200" s="22"/>
      <c r="M200" s="22"/>
      <c r="N200" s="84"/>
    </row>
    <row r="201" spans="2:14" ht="17.399999999999999" x14ac:dyDescent="0.3">
      <c r="B201" s="81" t="s">
        <v>311</v>
      </c>
      <c r="C201" s="22"/>
      <c r="D201" s="22"/>
      <c r="E201" s="22"/>
      <c r="F201" s="22"/>
      <c r="G201" s="72"/>
      <c r="H201" s="85" t="s">
        <v>314</v>
      </c>
      <c r="I201" s="71"/>
      <c r="J201" s="72"/>
      <c r="K201" s="72"/>
      <c r="L201" s="22"/>
      <c r="M201" s="22"/>
      <c r="N201" s="84"/>
    </row>
    <row r="202" spans="2:14" ht="17.399999999999999" x14ac:dyDescent="0.3">
      <c r="B202" s="80" t="s">
        <v>316</v>
      </c>
      <c r="C202" s="82"/>
      <c r="D202" s="22"/>
      <c r="E202" s="22"/>
      <c r="F202" s="22"/>
      <c r="G202" s="22"/>
      <c r="H202" s="70" t="s">
        <v>315</v>
      </c>
      <c r="I202" s="71"/>
      <c r="J202" s="71"/>
      <c r="K202" s="71"/>
      <c r="L202" s="71"/>
      <c r="M202" s="22"/>
      <c r="N202" s="84"/>
    </row>
    <row r="203" spans="2:14" x14ac:dyDescent="0.3">
      <c r="B203" s="80" t="s">
        <v>318</v>
      </c>
      <c r="C203" s="22"/>
      <c r="D203" s="79"/>
      <c r="E203" s="22"/>
      <c r="F203" s="79"/>
      <c r="G203" s="86"/>
      <c r="H203" s="70" t="s">
        <v>317</v>
      </c>
      <c r="I203" s="10"/>
      <c r="J203" s="72"/>
      <c r="K203" s="72"/>
      <c r="L203" s="22"/>
      <c r="M203" s="22"/>
      <c r="N203" s="84"/>
    </row>
    <row r="204" spans="2:14" x14ac:dyDescent="0.3">
      <c r="B204" s="81" t="s">
        <v>319</v>
      </c>
      <c r="C204" s="22"/>
      <c r="D204" s="22"/>
      <c r="E204" s="22"/>
      <c r="F204" s="22"/>
      <c r="G204" s="86"/>
      <c r="I204" s="10"/>
      <c r="J204" s="72"/>
      <c r="K204" s="72"/>
      <c r="L204" s="22"/>
      <c r="M204" s="22"/>
      <c r="N204" s="84"/>
    </row>
    <row r="205" spans="2:14" x14ac:dyDescent="0.3">
      <c r="B205" s="197" t="s">
        <v>320</v>
      </c>
      <c r="D205" s="22"/>
      <c r="E205" s="22"/>
      <c r="F205" s="22"/>
      <c r="G205" s="86"/>
      <c r="H205" s="79" t="s">
        <v>168</v>
      </c>
      <c r="I205" s="10"/>
      <c r="J205" s="10"/>
      <c r="K205" s="10"/>
      <c r="L205" s="22"/>
      <c r="M205" s="22"/>
      <c r="N205" s="84"/>
    </row>
    <row r="206" spans="2:14" ht="17.399999999999999" x14ac:dyDescent="0.3">
      <c r="B206" s="322" t="s">
        <v>321</v>
      </c>
      <c r="C206" s="10"/>
      <c r="D206" s="10"/>
      <c r="E206" s="10"/>
      <c r="F206" s="10"/>
      <c r="G206" s="69"/>
      <c r="I206" s="10"/>
      <c r="J206" s="71"/>
      <c r="K206" s="71"/>
      <c r="L206" s="22"/>
      <c r="M206" s="22"/>
      <c r="N206" s="84"/>
    </row>
    <row r="207" spans="2:14" x14ac:dyDescent="0.3">
      <c r="B207" s="81" t="s">
        <v>326</v>
      </c>
      <c r="C207" s="22"/>
      <c r="D207" s="22"/>
      <c r="E207" s="22"/>
      <c r="F207" s="22"/>
      <c r="G207" s="69"/>
      <c r="H207" s="85"/>
      <c r="I207" s="10"/>
      <c r="J207" s="72"/>
      <c r="K207" s="72"/>
      <c r="L207" s="76"/>
      <c r="M207" s="76"/>
      <c r="N207" s="77"/>
    </row>
    <row r="208" spans="2:14" x14ac:dyDescent="0.3">
      <c r="B208" s="80" t="s">
        <v>325</v>
      </c>
      <c r="C208" s="22"/>
      <c r="E208" s="22"/>
      <c r="F208" s="22"/>
      <c r="G208" s="69"/>
      <c r="H208" s="10"/>
      <c r="I208" s="10"/>
      <c r="J208" s="72"/>
      <c r="K208" s="10"/>
      <c r="L208" s="76"/>
      <c r="M208" s="76"/>
      <c r="N208" s="77"/>
    </row>
    <row r="209" spans="2:14" x14ac:dyDescent="0.3">
      <c r="B209" s="78"/>
      <c r="C209" s="22"/>
      <c r="D209" s="22"/>
      <c r="E209" s="22"/>
      <c r="F209" s="22"/>
      <c r="G209" s="69"/>
      <c r="H209" s="88" t="s">
        <v>138</v>
      </c>
      <c r="I209" s="10"/>
      <c r="J209" s="72"/>
      <c r="K209" s="72"/>
      <c r="L209" s="76"/>
      <c r="M209" s="76"/>
      <c r="N209" s="77"/>
    </row>
    <row r="210" spans="2:14" ht="17.399999999999999" x14ac:dyDescent="0.3">
      <c r="B210" s="80"/>
      <c r="C210" s="22"/>
      <c r="D210" s="22"/>
      <c r="E210" s="22"/>
      <c r="F210" s="22"/>
      <c r="G210" s="69"/>
      <c r="H210" s="70" t="s">
        <v>331</v>
      </c>
      <c r="I210" s="10"/>
      <c r="J210" s="71"/>
      <c r="K210" s="71"/>
      <c r="L210" s="76"/>
      <c r="M210" s="76"/>
      <c r="N210" s="77"/>
    </row>
    <row r="211" spans="2:14" x14ac:dyDescent="0.3">
      <c r="B211" s="87" t="s">
        <v>137</v>
      </c>
      <c r="C211" s="22"/>
      <c r="D211" s="22"/>
      <c r="E211" s="10"/>
      <c r="F211" s="10"/>
      <c r="G211" s="10"/>
      <c r="H211" s="70" t="s">
        <v>330</v>
      </c>
      <c r="J211" s="10"/>
      <c r="K211" s="10"/>
      <c r="L211" s="10"/>
      <c r="M211" s="10"/>
      <c r="N211" s="30"/>
    </row>
    <row r="212" spans="2:14" x14ac:dyDescent="0.3">
      <c r="B212" s="197" t="s">
        <v>328</v>
      </c>
      <c r="C212" s="22"/>
      <c r="D212" s="22"/>
      <c r="E212" s="22"/>
      <c r="F212" s="22"/>
      <c r="G212" s="69"/>
      <c r="H212" s="320" t="s">
        <v>312</v>
      </c>
      <c r="J212" s="10"/>
      <c r="K212" s="10"/>
      <c r="L212" s="76"/>
      <c r="M212" s="76"/>
      <c r="N212" s="77"/>
    </row>
    <row r="213" spans="2:14" x14ac:dyDescent="0.3">
      <c r="B213" s="81" t="s">
        <v>336</v>
      </c>
      <c r="C213" s="79"/>
      <c r="D213" s="79"/>
      <c r="E213" s="22"/>
      <c r="F213" s="22"/>
      <c r="G213" s="69"/>
      <c r="H213" s="320" t="s">
        <v>332</v>
      </c>
      <c r="I213" s="10"/>
      <c r="J213" s="72"/>
      <c r="K213" s="72"/>
      <c r="L213" s="76"/>
      <c r="M213" s="76"/>
      <c r="N213" s="77"/>
    </row>
    <row r="214" spans="2:14" x14ac:dyDescent="0.3">
      <c r="B214" s="81" t="s">
        <v>337</v>
      </c>
      <c r="C214" s="22"/>
      <c r="D214" s="22"/>
      <c r="E214" s="22"/>
      <c r="F214" s="82"/>
      <c r="G214" s="22"/>
      <c r="H214" s="321" t="s">
        <v>333</v>
      </c>
      <c r="I214" s="10"/>
      <c r="J214" s="22"/>
      <c r="K214" s="72"/>
      <c r="L214" s="10"/>
      <c r="M214" s="10"/>
      <c r="N214" s="30"/>
    </row>
    <row r="215" spans="2:14" ht="17.399999999999999" x14ac:dyDescent="0.3">
      <c r="B215" s="197" t="s">
        <v>322</v>
      </c>
      <c r="C215" s="22"/>
      <c r="D215" s="22"/>
      <c r="E215" s="22"/>
      <c r="F215" s="22"/>
      <c r="G215" s="69"/>
      <c r="H215" s="85" t="s">
        <v>324</v>
      </c>
      <c r="I215" s="10"/>
      <c r="J215" s="71"/>
      <c r="K215" s="71"/>
      <c r="L215" s="22"/>
      <c r="M215" s="22"/>
      <c r="N215" s="84"/>
    </row>
    <row r="216" spans="2:14" ht="17.399999999999999" x14ac:dyDescent="0.3">
      <c r="B216" s="9"/>
      <c r="C216" s="22" t="s">
        <v>323</v>
      </c>
      <c r="D216" s="22"/>
      <c r="E216" s="22"/>
      <c r="F216" s="82"/>
      <c r="G216" s="72"/>
      <c r="H216" s="85"/>
      <c r="I216" s="73"/>
      <c r="J216" s="72"/>
      <c r="K216" s="73"/>
      <c r="L216" s="74"/>
      <c r="M216" s="74"/>
      <c r="N216" s="84"/>
    </row>
    <row r="217" spans="2:14" ht="17.399999999999999" x14ac:dyDescent="0.3">
      <c r="B217" s="90" t="s">
        <v>327</v>
      </c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3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2"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D166:E166"/>
    <mergeCell ref="B161:C161"/>
    <mergeCell ref="D161:E161"/>
    <mergeCell ref="B162:C162"/>
    <mergeCell ref="D162:E162"/>
    <mergeCell ref="B163:C163"/>
    <mergeCell ref="D163:E16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G152:I152"/>
    <mergeCell ref="F178:G178"/>
    <mergeCell ref="C181:D181"/>
    <mergeCell ref="C182:D182"/>
    <mergeCell ref="C183:D183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</mergeCells>
  <pageMargins left="0.7" right="0.7" top="0.75" bottom="0.75" header="0.3" footer="0.3"/>
  <pageSetup scale="65" fitToHeight="0" orientation="portrait" r:id="rId1"/>
  <rowBreaks count="3" manualBreakCount="3">
    <brk id="60" max="16383" man="1"/>
    <brk id="123" max="16383" man="1"/>
    <brk id="18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opLeftCell="A71" workbookViewId="0">
      <selection activeCell="F174" sqref="F174"/>
    </sheetView>
  </sheetViews>
  <sheetFormatPr defaultRowHeight="14.4" x14ac:dyDescent="0.3"/>
  <cols>
    <col min="3" max="3" width="9.109375" customWidth="1"/>
    <col min="7" max="7" width="9.6640625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 t="s">
        <v>194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37" t="s">
        <v>17</v>
      </c>
      <c r="D6" s="126">
        <v>69</v>
      </c>
      <c r="E6" s="126">
        <v>0</v>
      </c>
      <c r="F6" s="126">
        <v>147</v>
      </c>
      <c r="G6" s="127">
        <v>272</v>
      </c>
      <c r="H6" s="127">
        <v>76</v>
      </c>
      <c r="I6" s="127">
        <v>1</v>
      </c>
      <c r="J6" s="127">
        <v>4</v>
      </c>
      <c r="K6" s="127">
        <v>87</v>
      </c>
      <c r="L6" s="127">
        <v>58</v>
      </c>
      <c r="M6" s="127">
        <f>SUM(D6:L6)</f>
        <v>714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126">
        <v>1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 t="shared" ref="M7:M11" si="0">SUM(D7:L7)</f>
        <v>6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12</v>
      </c>
      <c r="H8" s="127">
        <v>18</v>
      </c>
      <c r="I8" s="127">
        <v>1</v>
      </c>
      <c r="J8" s="126">
        <v>0</v>
      </c>
      <c r="K8" s="126">
        <v>25</v>
      </c>
      <c r="L8" s="127">
        <v>0</v>
      </c>
      <c r="M8" s="127">
        <f t="shared" si="0"/>
        <v>76</v>
      </c>
    </row>
    <row r="9" spans="2:15" x14ac:dyDescent="0.3">
      <c r="C9" s="38" t="s">
        <v>20</v>
      </c>
      <c r="D9" s="126">
        <v>6</v>
      </c>
      <c r="E9" s="126">
        <v>4</v>
      </c>
      <c r="F9" s="126">
        <v>21</v>
      </c>
      <c r="G9" s="126">
        <v>55</v>
      </c>
      <c r="H9" s="127">
        <v>21</v>
      </c>
      <c r="I9" s="126">
        <v>1</v>
      </c>
      <c r="J9" s="126">
        <v>2</v>
      </c>
      <c r="K9" s="126">
        <v>24</v>
      </c>
      <c r="L9" s="127">
        <v>4</v>
      </c>
      <c r="M9" s="127">
        <f t="shared" si="0"/>
        <v>138</v>
      </c>
    </row>
    <row r="10" spans="2:15" x14ac:dyDescent="0.3">
      <c r="C10" s="38" t="s">
        <v>21</v>
      </c>
      <c r="D10" s="127">
        <v>121</v>
      </c>
      <c r="E10" s="126">
        <v>59</v>
      </c>
      <c r="F10" s="126">
        <v>261</v>
      </c>
      <c r="G10" s="126">
        <v>277</v>
      </c>
      <c r="H10" s="127">
        <v>152</v>
      </c>
      <c r="I10" s="126">
        <v>13</v>
      </c>
      <c r="J10" s="126">
        <v>9</v>
      </c>
      <c r="K10" s="126">
        <v>483</v>
      </c>
      <c r="L10" s="127">
        <v>150</v>
      </c>
      <c r="M10" s="127">
        <f t="shared" si="0"/>
        <v>1525</v>
      </c>
    </row>
    <row r="11" spans="2:15" x14ac:dyDescent="0.3">
      <c r="C11" s="38" t="s">
        <v>12</v>
      </c>
      <c r="D11" s="127">
        <f>SUM(D6:D10)</f>
        <v>198</v>
      </c>
      <c r="E11" s="127">
        <f t="shared" ref="E11:L11" si="1">SUM(E6:E10)</f>
        <v>65</v>
      </c>
      <c r="F11" s="127">
        <f t="shared" si="1"/>
        <v>447</v>
      </c>
      <c r="G11" s="127">
        <f t="shared" si="1"/>
        <v>617</v>
      </c>
      <c r="H11" s="127">
        <f t="shared" si="1"/>
        <v>268</v>
      </c>
      <c r="I11" s="127">
        <f t="shared" si="1"/>
        <v>16</v>
      </c>
      <c r="J11" s="127">
        <f t="shared" si="1"/>
        <v>15</v>
      </c>
      <c r="K11" s="127">
        <f t="shared" si="1"/>
        <v>619</v>
      </c>
      <c r="L11" s="127">
        <f t="shared" si="1"/>
        <v>214</v>
      </c>
      <c r="M11" s="127">
        <f t="shared" si="0"/>
        <v>2459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204" t="s">
        <v>24</v>
      </c>
      <c r="D16" s="126">
        <v>63</v>
      </c>
      <c r="E16" s="126">
        <v>3</v>
      </c>
      <c r="F16" s="126">
        <v>21</v>
      </c>
      <c r="G16" s="127">
        <v>185</v>
      </c>
      <c r="H16" s="127">
        <v>110</v>
      </c>
      <c r="I16" s="127">
        <v>37</v>
      </c>
      <c r="J16" s="127">
        <v>5</v>
      </c>
      <c r="K16" s="127">
        <v>144</v>
      </c>
      <c r="L16" s="127">
        <v>19</v>
      </c>
      <c r="M16" s="127">
        <f>SUM(D16:L16)</f>
        <v>587</v>
      </c>
    </row>
    <row r="17" spans="2:13" x14ac:dyDescent="0.3">
      <c r="C17" s="38" t="s">
        <v>25</v>
      </c>
      <c r="D17" s="126">
        <v>6</v>
      </c>
      <c r="E17" s="126">
        <v>2</v>
      </c>
      <c r="F17" s="127">
        <v>12</v>
      </c>
      <c r="G17" s="126">
        <v>67</v>
      </c>
      <c r="H17" s="126">
        <v>34</v>
      </c>
      <c r="I17" s="126">
        <v>4</v>
      </c>
      <c r="J17" s="126">
        <v>8</v>
      </c>
      <c r="K17" s="126">
        <v>39</v>
      </c>
      <c r="L17" s="126">
        <v>29</v>
      </c>
      <c r="M17" s="127">
        <f t="shared" ref="M17:M21" si="2">SUM(D17:L17)</f>
        <v>201</v>
      </c>
    </row>
    <row r="18" spans="2:13" x14ac:dyDescent="0.3">
      <c r="C18" s="38" t="s">
        <v>26</v>
      </c>
      <c r="D18" s="126">
        <v>139</v>
      </c>
      <c r="E18" s="126">
        <v>256</v>
      </c>
      <c r="F18" s="126">
        <v>481</v>
      </c>
      <c r="G18" s="126">
        <v>276</v>
      </c>
      <c r="H18" s="127">
        <v>244</v>
      </c>
      <c r="I18" s="127">
        <v>2</v>
      </c>
      <c r="J18" s="126">
        <v>43</v>
      </c>
      <c r="K18" s="126">
        <v>277</v>
      </c>
      <c r="L18" s="127">
        <v>126</v>
      </c>
      <c r="M18" s="127">
        <f t="shared" si="2"/>
        <v>1844</v>
      </c>
    </row>
    <row r="19" spans="2:13" x14ac:dyDescent="0.3">
      <c r="C19" s="38" t="s">
        <v>27</v>
      </c>
      <c r="D19" s="126">
        <f>26+35</f>
        <v>61</v>
      </c>
      <c r="E19" s="126">
        <f>38+52</f>
        <v>90</v>
      </c>
      <c r="F19" s="126">
        <v>45</v>
      </c>
      <c r="G19" s="126">
        <f>45+46</f>
        <v>91</v>
      </c>
      <c r="H19" s="127">
        <f>27+39</f>
        <v>66</v>
      </c>
      <c r="I19" s="126">
        <v>45</v>
      </c>
      <c r="J19" s="126">
        <v>23</v>
      </c>
      <c r="K19" s="126">
        <v>69</v>
      </c>
      <c r="L19" s="127">
        <v>66</v>
      </c>
      <c r="M19" s="127">
        <f t="shared" si="2"/>
        <v>556</v>
      </c>
    </row>
    <row r="20" spans="2:13" x14ac:dyDescent="0.3">
      <c r="C20" s="38" t="s">
        <v>28</v>
      </c>
      <c r="D20" s="127">
        <f>D59</f>
        <v>19</v>
      </c>
      <c r="E20" s="127">
        <f t="shared" ref="E20:L20" si="3">E59</f>
        <v>15</v>
      </c>
      <c r="F20" s="127">
        <f t="shared" si="3"/>
        <v>36</v>
      </c>
      <c r="G20" s="127">
        <f t="shared" si="3"/>
        <v>58</v>
      </c>
      <c r="H20" s="127">
        <f t="shared" si="3"/>
        <v>42</v>
      </c>
      <c r="I20" s="127">
        <f t="shared" si="3"/>
        <v>15</v>
      </c>
      <c r="J20" s="127">
        <f t="shared" si="3"/>
        <v>7</v>
      </c>
      <c r="K20" s="127">
        <f t="shared" si="3"/>
        <v>106</v>
      </c>
      <c r="L20" s="127">
        <f t="shared" si="3"/>
        <v>31</v>
      </c>
      <c r="M20" s="127">
        <f t="shared" si="2"/>
        <v>329</v>
      </c>
    </row>
    <row r="21" spans="2:13" x14ac:dyDescent="0.3">
      <c r="C21" s="38" t="s">
        <v>12</v>
      </c>
      <c r="D21" s="127">
        <f>SUM(D16:D20)</f>
        <v>288</v>
      </c>
      <c r="E21" s="127">
        <f t="shared" ref="E21:L21" si="4">SUM(E16:E20)</f>
        <v>366</v>
      </c>
      <c r="F21" s="127">
        <f t="shared" si="4"/>
        <v>595</v>
      </c>
      <c r="G21" s="127">
        <f t="shared" si="4"/>
        <v>677</v>
      </c>
      <c r="H21" s="127">
        <f t="shared" si="4"/>
        <v>496</v>
      </c>
      <c r="I21" s="127">
        <f t="shared" si="4"/>
        <v>103</v>
      </c>
      <c r="J21" s="127">
        <f t="shared" si="4"/>
        <v>86</v>
      </c>
      <c r="K21" s="127">
        <f t="shared" si="4"/>
        <v>635</v>
      </c>
      <c r="L21" s="127">
        <f t="shared" si="4"/>
        <v>271</v>
      </c>
      <c r="M21" s="127">
        <f t="shared" si="2"/>
        <v>3517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1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1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12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12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59">
        <v>1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59">
        <v>0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>
        <v>2</v>
      </c>
      <c r="E31" s="126"/>
      <c r="F31" s="126">
        <v>2</v>
      </c>
      <c r="G31" s="127">
        <v>6</v>
      </c>
      <c r="H31" s="127">
        <v>2</v>
      </c>
      <c r="I31" s="127">
        <v>6</v>
      </c>
      <c r="J31" s="127">
        <v>2</v>
      </c>
      <c r="K31" s="127">
        <v>7</v>
      </c>
      <c r="L31" s="127">
        <v>6</v>
      </c>
      <c r="M31" s="127">
        <f>SUM(D31:L31)</f>
        <v>33</v>
      </c>
    </row>
    <row r="32" spans="2:13" x14ac:dyDescent="0.3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ref="M32:M58" si="5">SUM(D32:L32)</f>
        <v>0</v>
      </c>
    </row>
    <row r="33" spans="3:13" x14ac:dyDescent="0.3">
      <c r="C33" s="38" t="s">
        <v>35</v>
      </c>
      <c r="D33" s="126"/>
      <c r="E33" s="126"/>
      <c r="F33" s="126">
        <v>4</v>
      </c>
      <c r="G33" s="126">
        <v>5</v>
      </c>
      <c r="H33" s="127"/>
      <c r="I33" s="127">
        <v>2</v>
      </c>
      <c r="J33" s="126"/>
      <c r="K33" s="126">
        <v>5</v>
      </c>
      <c r="L33" s="127"/>
      <c r="M33" s="127">
        <f t="shared" si="5"/>
        <v>16</v>
      </c>
    </row>
    <row r="34" spans="3:13" x14ac:dyDescent="0.3">
      <c r="C34" s="38" t="s">
        <v>36</v>
      </c>
      <c r="D34" s="126"/>
      <c r="E34" s="126"/>
      <c r="F34" s="126"/>
      <c r="G34" s="126">
        <v>2</v>
      </c>
      <c r="H34" s="127"/>
      <c r="I34" s="126"/>
      <c r="J34" s="126"/>
      <c r="K34" s="126"/>
      <c r="L34" s="127"/>
      <c r="M34" s="127">
        <f t="shared" si="5"/>
        <v>2</v>
      </c>
    </row>
    <row r="35" spans="3:13" x14ac:dyDescent="0.3">
      <c r="C35" s="38" t="s">
        <v>37</v>
      </c>
      <c r="D35" s="127">
        <v>2</v>
      </c>
      <c r="E35" s="126"/>
      <c r="F35" s="126">
        <v>1</v>
      </c>
      <c r="G35" s="126">
        <v>4</v>
      </c>
      <c r="H35" s="127"/>
      <c r="I35" s="126"/>
      <c r="J35" s="126"/>
      <c r="K35" s="126"/>
      <c r="L35" s="127"/>
      <c r="M35" s="127">
        <f t="shared" si="5"/>
        <v>7</v>
      </c>
    </row>
    <row r="36" spans="3:13" x14ac:dyDescent="0.3">
      <c r="C36" s="38" t="s">
        <v>38</v>
      </c>
      <c r="D36" s="127">
        <v>1</v>
      </c>
      <c r="E36" s="126"/>
      <c r="F36" s="127"/>
      <c r="G36" s="127">
        <v>2</v>
      </c>
      <c r="H36" s="127"/>
      <c r="I36" s="126"/>
      <c r="J36" s="126"/>
      <c r="K36" s="126"/>
      <c r="L36" s="126"/>
      <c r="M36" s="127">
        <f t="shared" si="5"/>
        <v>3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>
        <v>1</v>
      </c>
      <c r="I39" s="127"/>
      <c r="J39" s="126"/>
      <c r="K39" s="126"/>
      <c r="L39" s="127"/>
      <c r="M39" s="127">
        <f t="shared" si="5"/>
        <v>1</v>
      </c>
    </row>
    <row r="40" spans="3:13" x14ac:dyDescent="0.3">
      <c r="C40" s="38" t="s">
        <v>42</v>
      </c>
      <c r="D40" s="126"/>
      <c r="E40" s="126"/>
      <c r="F40" s="127"/>
      <c r="G40" s="127"/>
      <c r="H40" s="127"/>
      <c r="I40" s="127"/>
      <c r="J40" s="126"/>
      <c r="K40" s="126"/>
      <c r="L40" s="127"/>
      <c r="M40" s="127">
        <f t="shared" si="5"/>
        <v>0</v>
      </c>
    </row>
    <row r="41" spans="3:13" x14ac:dyDescent="0.3">
      <c r="C41" s="38" t="s">
        <v>43</v>
      </c>
      <c r="D41" s="126"/>
      <c r="E41" s="126"/>
      <c r="F41" s="127">
        <v>14</v>
      </c>
      <c r="G41" s="127">
        <v>2</v>
      </c>
      <c r="H41" s="127">
        <v>1</v>
      </c>
      <c r="I41" s="127">
        <v>1</v>
      </c>
      <c r="J41" s="126"/>
      <c r="K41" s="126">
        <v>27</v>
      </c>
      <c r="L41" s="127">
        <v>3</v>
      </c>
      <c r="M41" s="127">
        <f t="shared" si="5"/>
        <v>48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5"/>
        <v>0</v>
      </c>
    </row>
    <row r="43" spans="3:13" x14ac:dyDescent="0.3">
      <c r="C43" s="37" t="s">
        <v>45</v>
      </c>
      <c r="D43" s="126"/>
      <c r="E43" s="126"/>
      <c r="F43" s="127"/>
      <c r="G43" s="127"/>
      <c r="H43" s="127"/>
      <c r="I43" s="127"/>
      <c r="J43" s="127"/>
      <c r="K43" s="127">
        <v>2</v>
      </c>
      <c r="L43" s="127"/>
      <c r="M43" s="127">
        <f t="shared" si="5"/>
        <v>2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>
        <v>1</v>
      </c>
      <c r="J47" s="127"/>
      <c r="K47" s="127"/>
      <c r="L47" s="127"/>
      <c r="M47" s="127">
        <f t="shared" si="5"/>
        <v>1</v>
      </c>
    </row>
    <row r="48" spans="3:13" x14ac:dyDescent="0.3">
      <c r="C48" s="37" t="s">
        <v>50</v>
      </c>
      <c r="D48" s="127">
        <v>10</v>
      </c>
      <c r="E48" s="127">
        <v>7</v>
      </c>
      <c r="F48" s="127">
        <v>11</v>
      </c>
      <c r="G48" s="127">
        <v>28</v>
      </c>
      <c r="H48" s="127">
        <v>31</v>
      </c>
      <c r="I48" s="127">
        <v>1</v>
      </c>
      <c r="J48" s="127">
        <v>5</v>
      </c>
      <c r="K48" s="127">
        <v>39</v>
      </c>
      <c r="L48" s="127">
        <v>17</v>
      </c>
      <c r="M48" s="127">
        <f t="shared" si="5"/>
        <v>149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>
        <v>1</v>
      </c>
      <c r="J50" s="127"/>
      <c r="K50" s="127"/>
      <c r="L50" s="127"/>
      <c r="M50" s="127">
        <f t="shared" si="5"/>
        <v>1</v>
      </c>
    </row>
    <row r="51" spans="2:14" x14ac:dyDescent="0.3">
      <c r="C51" s="38" t="s">
        <v>53</v>
      </c>
      <c r="D51" s="127">
        <v>2</v>
      </c>
      <c r="E51" s="126"/>
      <c r="F51" s="127"/>
      <c r="G51" s="127">
        <v>2</v>
      </c>
      <c r="H51" s="127"/>
      <c r="I51" s="127">
        <v>2</v>
      </c>
      <c r="J51" s="127"/>
      <c r="K51" s="127">
        <v>7</v>
      </c>
      <c r="L51" s="127"/>
      <c r="M51" s="127">
        <f t="shared" si="5"/>
        <v>13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5"/>
        <v>0</v>
      </c>
    </row>
    <row r="53" spans="2:14" x14ac:dyDescent="0.3">
      <c r="C53" s="38" t="s">
        <v>167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5"/>
        <v>0</v>
      </c>
    </row>
    <row r="54" spans="2:14" x14ac:dyDescent="0.3">
      <c r="C54" s="38" t="s">
        <v>55</v>
      </c>
      <c r="D54" s="127">
        <v>1</v>
      </c>
      <c r="E54" s="126">
        <v>2</v>
      </c>
      <c r="F54" s="127">
        <v>2</v>
      </c>
      <c r="G54" s="127"/>
      <c r="H54" s="127">
        <v>2</v>
      </c>
      <c r="I54" s="127"/>
      <c r="J54" s="127"/>
      <c r="K54" s="127">
        <v>5</v>
      </c>
      <c r="L54" s="127">
        <v>2</v>
      </c>
      <c r="M54" s="127">
        <f t="shared" si="5"/>
        <v>14</v>
      </c>
    </row>
    <row r="55" spans="2:14" x14ac:dyDescent="0.3">
      <c r="C55" s="38" t="s">
        <v>56</v>
      </c>
      <c r="D55" s="126">
        <v>1</v>
      </c>
      <c r="E55" s="126">
        <v>3</v>
      </c>
      <c r="F55" s="126">
        <v>1</v>
      </c>
      <c r="G55" s="127">
        <v>4</v>
      </c>
      <c r="H55" s="126">
        <v>2</v>
      </c>
      <c r="I55" s="127"/>
      <c r="J55" s="127"/>
      <c r="K55" s="127">
        <v>9</v>
      </c>
      <c r="L55" s="127">
        <v>3</v>
      </c>
      <c r="M55" s="127">
        <f t="shared" si="5"/>
        <v>23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5"/>
        <v>0</v>
      </c>
    </row>
    <row r="57" spans="2:14" x14ac:dyDescent="0.3">
      <c r="C57" s="34" t="s">
        <v>58</v>
      </c>
      <c r="D57" s="126"/>
      <c r="E57" s="126">
        <v>3</v>
      </c>
      <c r="F57" s="126"/>
      <c r="G57" s="127"/>
      <c r="H57" s="126"/>
      <c r="I57" s="127"/>
      <c r="J57" s="126"/>
      <c r="K57" s="126"/>
      <c r="L57" s="127"/>
      <c r="M57" s="127">
        <f t="shared" si="5"/>
        <v>3</v>
      </c>
    </row>
    <row r="58" spans="2:14" ht="15" thickBot="1" x14ac:dyDescent="0.35">
      <c r="C58" s="118" t="s">
        <v>59</v>
      </c>
      <c r="D58" s="145"/>
      <c r="E58" s="128"/>
      <c r="F58" s="128">
        <v>1</v>
      </c>
      <c r="G58" s="128">
        <v>3</v>
      </c>
      <c r="H58" s="128">
        <v>3</v>
      </c>
      <c r="I58" s="128">
        <v>1</v>
      </c>
      <c r="J58" s="128"/>
      <c r="K58" s="128">
        <v>5</v>
      </c>
      <c r="L58" s="128"/>
      <c r="M58" s="127">
        <f t="shared" si="5"/>
        <v>13</v>
      </c>
    </row>
    <row r="59" spans="2:14" ht="15" thickTop="1" x14ac:dyDescent="0.3">
      <c r="C59" s="36" t="s">
        <v>29</v>
      </c>
      <c r="D59" s="143">
        <f>SUM(D31:D58)</f>
        <v>19</v>
      </c>
      <c r="E59" s="143">
        <f>SUM(E31:E58)</f>
        <v>15</v>
      </c>
      <c r="F59" s="143">
        <f t="shared" ref="F59:M59" si="6">SUM(F31:F58)</f>
        <v>36</v>
      </c>
      <c r="G59" s="143">
        <f t="shared" si="6"/>
        <v>58</v>
      </c>
      <c r="H59" s="143">
        <f t="shared" si="6"/>
        <v>42</v>
      </c>
      <c r="I59" s="143">
        <f t="shared" si="6"/>
        <v>15</v>
      </c>
      <c r="J59" s="143">
        <f t="shared" si="6"/>
        <v>7</v>
      </c>
      <c r="K59" s="143">
        <f t="shared" si="6"/>
        <v>106</v>
      </c>
      <c r="L59" s="143">
        <f t="shared" si="6"/>
        <v>31</v>
      </c>
      <c r="M59" s="143">
        <f t="shared" si="6"/>
        <v>329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3378</v>
      </c>
      <c r="E64" s="125">
        <v>79</v>
      </c>
      <c r="F64" s="124">
        <v>12699</v>
      </c>
      <c r="G64" s="125">
        <v>11913</v>
      </c>
      <c r="H64" s="125">
        <v>9024</v>
      </c>
      <c r="I64" s="125">
        <v>103</v>
      </c>
      <c r="J64" s="125">
        <v>57</v>
      </c>
      <c r="K64" s="125">
        <v>11388</v>
      </c>
      <c r="L64" s="125">
        <v>1829</v>
      </c>
      <c r="M64" s="21">
        <f>SUM(D64:L64)</f>
        <v>50470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98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210" t="s">
        <v>72</v>
      </c>
      <c r="M68" s="187" t="s">
        <v>144</v>
      </c>
      <c r="N68" s="16"/>
    </row>
    <row r="69" spans="2:14" x14ac:dyDescent="0.3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136">
        <v>44317</v>
      </c>
      <c r="D70" s="129">
        <f>52+39+20+22</f>
        <v>133</v>
      </c>
      <c r="E70" s="129">
        <v>969</v>
      </c>
      <c r="F70" s="135">
        <f>35+13+8+76+5+67+1+30</f>
        <v>235</v>
      </c>
      <c r="G70" s="15">
        <f>43+3+18+4+1+5+4+5+2+22+16+11+4+64+3+4+2+9+3+11+2+6+19+15+4+8+15+10+6+1+6+2+10+6+8+3+16+5+1+1+2+3</f>
        <v>383</v>
      </c>
      <c r="H70" s="129">
        <v>52</v>
      </c>
      <c r="I70" s="135">
        <f>21+190+4476</f>
        <v>4687</v>
      </c>
      <c r="J70" s="135">
        <v>14</v>
      </c>
      <c r="K70" s="129">
        <v>17</v>
      </c>
      <c r="L70" s="135">
        <v>222</v>
      </c>
      <c r="M70" s="129">
        <f>5085+179</f>
        <v>5264</v>
      </c>
      <c r="N70" s="130">
        <f>SUM(C70:M70)</f>
        <v>56293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195</v>
      </c>
      <c r="M72" s="10"/>
      <c r="N72">
        <v>5085</v>
      </c>
    </row>
    <row r="73" spans="2:14" x14ac:dyDescent="0.3">
      <c r="B73" s="10"/>
      <c r="C73" s="6" t="s">
        <v>264</v>
      </c>
      <c r="D73" s="7"/>
      <c r="E73" s="8">
        <v>110</v>
      </c>
      <c r="F73" s="10"/>
      <c r="G73" s="10"/>
      <c r="H73" s="12"/>
      <c r="I73" s="10"/>
      <c r="K73" s="10"/>
      <c r="L73" s="10" t="s">
        <v>196</v>
      </c>
      <c r="M73" s="10"/>
      <c r="N73">
        <f>36+31+21+38+15+24+14</f>
        <v>179</v>
      </c>
    </row>
    <row r="74" spans="2:14" x14ac:dyDescent="0.3">
      <c r="C74" s="42" t="s">
        <v>79</v>
      </c>
      <c r="D74" s="43"/>
      <c r="E74" s="31">
        <v>216</v>
      </c>
      <c r="I74" s="10"/>
      <c r="K74" s="10"/>
      <c r="L74" s="10"/>
      <c r="M74" s="10"/>
    </row>
    <row r="75" spans="2:14" x14ac:dyDescent="0.3">
      <c r="C75" s="44" t="s">
        <v>82</v>
      </c>
      <c r="D75" s="47"/>
      <c r="E75" s="16">
        <v>306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6" t="s">
        <v>117</v>
      </c>
      <c r="D77" s="49"/>
      <c r="E77" s="10"/>
      <c r="I77" s="10"/>
    </row>
    <row r="78" spans="2:14" x14ac:dyDescent="0.3">
      <c r="C78" s="51" t="s">
        <v>118</v>
      </c>
      <c r="D78" s="166">
        <v>294</v>
      </c>
      <c r="E78" s="29"/>
      <c r="I78" s="10"/>
    </row>
    <row r="79" spans="2:14" x14ac:dyDescent="0.3">
      <c r="C79" s="53" t="s">
        <v>108</v>
      </c>
      <c r="D79" s="56">
        <v>899</v>
      </c>
      <c r="E79" s="29"/>
      <c r="I79" s="10"/>
    </row>
    <row r="80" spans="2:14" x14ac:dyDescent="0.3">
      <c r="C80" s="57"/>
      <c r="D80" s="57"/>
      <c r="I80" s="10"/>
    </row>
    <row r="81" spans="2:14" x14ac:dyDescent="0.3">
      <c r="B81" s="147"/>
      <c r="C81" s="206" t="s">
        <v>77</v>
      </c>
      <c r="D81" s="105"/>
      <c r="E81" s="8">
        <v>8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8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2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4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203" t="s">
        <v>179</v>
      </c>
      <c r="D89" s="126">
        <v>65</v>
      </c>
      <c r="E89" s="126">
        <v>3</v>
      </c>
      <c r="F89" s="126">
        <v>247</v>
      </c>
      <c r="G89" s="167">
        <v>597</v>
      </c>
      <c r="H89" s="167">
        <v>147</v>
      </c>
      <c r="I89" s="167">
        <v>0</v>
      </c>
      <c r="J89" s="167">
        <v>0</v>
      </c>
      <c r="K89" s="167">
        <v>517</v>
      </c>
      <c r="L89" s="167">
        <v>18</v>
      </c>
      <c r="M89" s="168">
        <v>0</v>
      </c>
      <c r="N89" s="127">
        <f>SUM(D89:M89)</f>
        <v>1594</v>
      </c>
    </row>
    <row r="90" spans="2:14" x14ac:dyDescent="0.3">
      <c r="B90" s="9"/>
      <c r="C90" s="12" t="s">
        <v>13</v>
      </c>
      <c r="D90" s="126">
        <v>20</v>
      </c>
      <c r="E90" s="126">
        <v>0</v>
      </c>
      <c r="F90" s="126">
        <v>8</v>
      </c>
      <c r="G90" s="167">
        <v>79</v>
      </c>
      <c r="H90" s="167">
        <v>9</v>
      </c>
      <c r="I90" s="167">
        <v>0</v>
      </c>
      <c r="J90" s="167">
        <v>0</v>
      </c>
      <c r="K90" s="167">
        <v>40</v>
      </c>
      <c r="L90" s="167">
        <v>3</v>
      </c>
      <c r="M90" s="167">
        <v>15</v>
      </c>
      <c r="N90" s="127">
        <f t="shared" ref="N90:N91" si="7">SUM(D90:M90)</f>
        <v>174</v>
      </c>
    </row>
    <row r="91" spans="2:14" ht="15" thickBot="1" x14ac:dyDescent="0.35">
      <c r="B91" s="9"/>
      <c r="C91" s="12" t="s">
        <v>14</v>
      </c>
      <c r="D91" s="128">
        <v>0</v>
      </c>
      <c r="E91" s="128">
        <v>0</v>
      </c>
      <c r="F91" s="128">
        <v>36</v>
      </c>
      <c r="G91" s="128">
        <v>32</v>
      </c>
      <c r="H91" s="128">
        <v>41</v>
      </c>
      <c r="I91" s="128">
        <v>0</v>
      </c>
      <c r="J91" s="128">
        <v>0</v>
      </c>
      <c r="K91" s="128">
        <v>36</v>
      </c>
      <c r="L91" s="128">
        <v>21</v>
      </c>
      <c r="M91" s="169">
        <v>0</v>
      </c>
      <c r="N91" s="169">
        <f t="shared" si="7"/>
        <v>166</v>
      </c>
    </row>
    <row r="92" spans="2:14" ht="15" thickTop="1" x14ac:dyDescent="0.3">
      <c r="B92" s="13"/>
      <c r="C92" s="14" t="s">
        <v>12</v>
      </c>
      <c r="D92" s="143">
        <f>SUM(D89:D91)</f>
        <v>85</v>
      </c>
      <c r="E92" s="143">
        <f t="shared" ref="E92:N92" si="8">SUM(E89:E91)</f>
        <v>3</v>
      </c>
      <c r="F92" s="143">
        <f t="shared" si="8"/>
        <v>291</v>
      </c>
      <c r="G92" s="143">
        <f t="shared" si="8"/>
        <v>708</v>
      </c>
      <c r="H92" s="143">
        <f t="shared" si="8"/>
        <v>197</v>
      </c>
      <c r="I92" s="143">
        <f t="shared" si="8"/>
        <v>0</v>
      </c>
      <c r="J92" s="143">
        <f t="shared" si="8"/>
        <v>0</v>
      </c>
      <c r="K92" s="143">
        <f t="shared" si="8"/>
        <v>593</v>
      </c>
      <c r="L92" s="143">
        <f t="shared" si="8"/>
        <v>42</v>
      </c>
      <c r="M92" s="143">
        <f t="shared" si="8"/>
        <v>15</v>
      </c>
      <c r="N92" s="143">
        <f t="shared" si="8"/>
        <v>1934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3</v>
      </c>
      <c r="E95" s="126">
        <v>2</v>
      </c>
      <c r="F95" s="126">
        <v>10</v>
      </c>
      <c r="G95" s="150">
        <v>28</v>
      </c>
      <c r="H95" s="150">
        <v>4</v>
      </c>
      <c r="I95" s="150">
        <v>0</v>
      </c>
      <c r="J95" s="150">
        <v>0</v>
      </c>
      <c r="K95" s="150">
        <v>51</v>
      </c>
      <c r="L95" s="150">
        <v>0</v>
      </c>
      <c r="M95" s="150">
        <f>SUM(D95:L95)</f>
        <v>98</v>
      </c>
      <c r="N95" s="10"/>
    </row>
    <row r="96" spans="2:14" ht="15" thickBot="1" x14ac:dyDescent="0.35">
      <c r="B96" s="365" t="s">
        <v>177</v>
      </c>
      <c r="C96" s="380"/>
      <c r="D96" s="128">
        <v>0</v>
      </c>
      <c r="E96" s="128">
        <v>0</v>
      </c>
      <c r="F96" s="128">
        <v>0</v>
      </c>
      <c r="G96" s="174">
        <v>48</v>
      </c>
      <c r="H96" s="174">
        <v>0</v>
      </c>
      <c r="I96" s="174">
        <v>28</v>
      </c>
      <c r="J96" s="174">
        <v>0</v>
      </c>
      <c r="K96" s="174">
        <v>343</v>
      </c>
      <c r="L96" s="174">
        <v>0</v>
      </c>
      <c r="M96" s="150">
        <f t="shared" ref="M96:M97" si="9">SUM(D96:L96)</f>
        <v>419</v>
      </c>
      <c r="N96" s="10"/>
    </row>
    <row r="97" spans="1:15" ht="15" thickTop="1" x14ac:dyDescent="0.3">
      <c r="B97" s="28"/>
      <c r="C97" s="190" t="s">
        <v>29</v>
      </c>
      <c r="D97" s="171">
        <f t="shared" ref="D97:L97" si="10">SUM(D95:D96)</f>
        <v>3</v>
      </c>
      <c r="E97" s="171">
        <f t="shared" si="10"/>
        <v>2</v>
      </c>
      <c r="F97" s="171">
        <f t="shared" si="10"/>
        <v>10</v>
      </c>
      <c r="G97" s="171">
        <f t="shared" si="10"/>
        <v>76</v>
      </c>
      <c r="H97" s="171">
        <f t="shared" si="10"/>
        <v>4</v>
      </c>
      <c r="I97" s="172">
        <v>6</v>
      </c>
      <c r="J97" s="171">
        <f t="shared" si="10"/>
        <v>0</v>
      </c>
      <c r="K97" s="171">
        <f t="shared" si="10"/>
        <v>394</v>
      </c>
      <c r="L97" s="171">
        <f t="shared" si="10"/>
        <v>0</v>
      </c>
      <c r="M97" s="150">
        <f t="shared" si="9"/>
        <v>495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43">
        <v>0</v>
      </c>
      <c r="E99" s="143">
        <v>0</v>
      </c>
      <c r="F99" s="143">
        <v>5</v>
      </c>
      <c r="G99" s="151">
        <v>23</v>
      </c>
      <c r="H99" s="151">
        <v>2</v>
      </c>
      <c r="I99" s="151">
        <v>0</v>
      </c>
      <c r="J99" s="151">
        <v>0</v>
      </c>
      <c r="K99" s="151">
        <v>49</v>
      </c>
      <c r="L99" s="151">
        <v>2</v>
      </c>
      <c r="M99" s="151">
        <f>SUM(D99:L99)</f>
        <v>81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1:15" x14ac:dyDescent="0.3">
      <c r="B104" s="374" t="s">
        <v>23</v>
      </c>
      <c r="C104" s="375"/>
      <c r="D104" s="131">
        <v>7.25</v>
      </c>
      <c r="E104" s="131">
        <v>0</v>
      </c>
      <c r="F104" s="131">
        <v>58.25</v>
      </c>
      <c r="G104" s="131">
        <v>21.5</v>
      </c>
      <c r="H104" s="131">
        <v>6.75</v>
      </c>
      <c r="I104" s="131">
        <v>0</v>
      </c>
      <c r="J104" s="131">
        <v>0</v>
      </c>
      <c r="K104" s="131">
        <v>34.25</v>
      </c>
      <c r="L104" s="131">
        <v>0</v>
      </c>
      <c r="M104" s="132">
        <v>3.75</v>
      </c>
      <c r="N104" s="133">
        <f>SUM(D104:M104)</f>
        <v>131.75</v>
      </c>
    </row>
    <row r="105" spans="1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6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30">
        <v>898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30">
        <v>135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30">
        <v>2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30">
        <v>12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6">
        <v>0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35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31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0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489+90</f>
        <v>579</v>
      </c>
    </row>
    <row r="120" spans="2:14" x14ac:dyDescent="0.3">
      <c r="C120" s="9" t="s">
        <v>20</v>
      </c>
      <c r="D120" s="10"/>
      <c r="E120" s="137">
        <f>182+52</f>
        <v>234</v>
      </c>
    </row>
    <row r="121" spans="2:14" x14ac:dyDescent="0.3">
      <c r="C121" s="9" t="s">
        <v>19</v>
      </c>
      <c r="D121" s="10"/>
      <c r="E121" s="137">
        <v>15</v>
      </c>
    </row>
    <row r="122" spans="2:14" x14ac:dyDescent="0.3">
      <c r="C122" s="9" t="s">
        <v>93</v>
      </c>
      <c r="D122" s="10"/>
      <c r="E122" s="137">
        <v>508</v>
      </c>
    </row>
    <row r="123" spans="2:14" x14ac:dyDescent="0.3">
      <c r="C123" s="13" t="s">
        <v>96</v>
      </c>
      <c r="D123" s="15"/>
      <c r="E123" s="138">
        <v>15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v>27</v>
      </c>
    </row>
    <row r="127" spans="2:14" x14ac:dyDescent="0.3">
      <c r="C127" s="51" t="s">
        <v>88</v>
      </c>
      <c r="D127" s="10"/>
      <c r="E127" s="137">
        <v>1</v>
      </c>
    </row>
    <row r="128" spans="2:14" x14ac:dyDescent="0.3">
      <c r="C128" s="51" t="s">
        <v>90</v>
      </c>
      <c r="D128" s="10"/>
      <c r="E128" s="137">
        <v>306</v>
      </c>
    </row>
    <row r="129" spans="3:15" x14ac:dyDescent="0.3">
      <c r="C129" s="51" t="s">
        <v>92</v>
      </c>
      <c r="D129" s="12"/>
      <c r="E129" s="137">
        <f>990+93+1</f>
        <v>1084</v>
      </c>
    </row>
    <row r="130" spans="3:15" x14ac:dyDescent="0.3">
      <c r="C130" s="51" t="s">
        <v>95</v>
      </c>
      <c r="D130" s="12"/>
      <c r="E130" s="137">
        <f>40+55+3</f>
        <v>98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v>29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v>29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51" t="s">
        <v>100</v>
      </c>
      <c r="D133" s="10"/>
      <c r="E133" s="137">
        <v>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>
        <v>2</v>
      </c>
    </row>
    <row r="137" spans="3:15" x14ac:dyDescent="0.3">
      <c r="C137" s="50" t="s">
        <v>25</v>
      </c>
      <c r="D137" s="10"/>
      <c r="E137" s="139">
        <v>3</v>
      </c>
    </row>
    <row r="138" spans="3:15" x14ac:dyDescent="0.3">
      <c r="C138" s="50" t="s">
        <v>149</v>
      </c>
      <c r="D138" s="10"/>
      <c r="E138" s="139">
        <v>1</v>
      </c>
    </row>
    <row r="139" spans="3:15" x14ac:dyDescent="0.3">
      <c r="C139" s="52" t="s">
        <v>26</v>
      </c>
      <c r="D139" s="15"/>
      <c r="E139" s="138">
        <f>308+75+153</f>
        <v>536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191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1</v>
      </c>
      <c r="F144" s="126">
        <v>0</v>
      </c>
      <c r="G144" s="157">
        <f>SUM(E144:F144)</f>
        <v>1</v>
      </c>
    </row>
    <row r="145" spans="2:14" x14ac:dyDescent="0.3">
      <c r="C145" s="199" t="s">
        <v>13</v>
      </c>
      <c r="D145" s="163"/>
      <c r="E145" s="126">
        <v>1</v>
      </c>
      <c r="F145" s="126" t="s">
        <v>126</v>
      </c>
      <c r="G145" s="157">
        <f t="shared" ref="G145:G148" si="11">SUM(E145:F145)</f>
        <v>1</v>
      </c>
    </row>
    <row r="146" spans="2:14" x14ac:dyDescent="0.3">
      <c r="C146" s="199" t="s">
        <v>122</v>
      </c>
      <c r="D146" s="163"/>
      <c r="E146" s="126">
        <v>1</v>
      </c>
      <c r="F146" s="126">
        <v>0</v>
      </c>
      <c r="G146" s="157">
        <f t="shared" si="11"/>
        <v>1</v>
      </c>
    </row>
    <row r="147" spans="2:14" x14ac:dyDescent="0.3">
      <c r="C147" s="158" t="s">
        <v>124</v>
      </c>
      <c r="D147" s="162"/>
      <c r="E147" s="127">
        <v>16</v>
      </c>
      <c r="F147" s="127">
        <v>0</v>
      </c>
      <c r="G147" s="157">
        <f t="shared" si="11"/>
        <v>16</v>
      </c>
      <c r="L147" s="10"/>
      <c r="M147" s="29"/>
    </row>
    <row r="148" spans="2:14" x14ac:dyDescent="0.3">
      <c r="C148" s="159" t="s">
        <v>13</v>
      </c>
      <c r="D148" s="158"/>
      <c r="E148" s="127">
        <v>5</v>
      </c>
      <c r="F148" s="127" t="s">
        <v>126</v>
      </c>
      <c r="G148" s="157">
        <f t="shared" si="11"/>
        <v>5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55.8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115" t="s">
        <v>153</v>
      </c>
    </row>
    <row r="152" spans="2:14" ht="22.5" customHeight="1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7.75" customHeight="1" x14ac:dyDescent="0.3">
      <c r="B153" s="399"/>
      <c r="C153" s="400"/>
      <c r="D153" s="385"/>
      <c r="E153" s="386"/>
      <c r="F153" s="106"/>
    </row>
    <row r="154" spans="2:14" ht="25.5" customHeight="1" x14ac:dyDescent="0.3">
      <c r="B154" s="372" t="s">
        <v>169</v>
      </c>
      <c r="C154" s="373"/>
      <c r="D154" s="370">
        <v>161</v>
      </c>
      <c r="E154" s="371"/>
      <c r="F154" s="107"/>
    </row>
    <row r="155" spans="2:14" ht="27.75" customHeight="1" x14ac:dyDescent="0.3">
      <c r="B155" s="372" t="s">
        <v>183</v>
      </c>
      <c r="C155" s="373"/>
      <c r="D155" s="370">
        <v>1196</v>
      </c>
      <c r="E155" s="371"/>
      <c r="F155" s="107"/>
    </row>
    <row r="156" spans="2:14" x14ac:dyDescent="0.3">
      <c r="B156" s="372" t="s">
        <v>154</v>
      </c>
      <c r="C156" s="373"/>
      <c r="D156" s="370">
        <v>3456</v>
      </c>
      <c r="E156" s="371"/>
      <c r="F156" s="107"/>
    </row>
    <row r="157" spans="2:14" x14ac:dyDescent="0.3">
      <c r="B157" s="372" t="s">
        <v>184</v>
      </c>
      <c r="C157" s="373"/>
      <c r="D157" s="370">
        <v>129</v>
      </c>
      <c r="E157" s="371"/>
      <c r="F157" s="107"/>
    </row>
    <row r="158" spans="2:14" x14ac:dyDescent="0.3">
      <c r="B158" s="372" t="s">
        <v>156</v>
      </c>
      <c r="C158" s="373"/>
      <c r="D158" s="370">
        <v>3926</v>
      </c>
      <c r="E158" s="371"/>
      <c r="F158" s="107"/>
    </row>
    <row r="159" spans="2:14" x14ac:dyDescent="0.3">
      <c r="B159" s="372" t="s">
        <v>123</v>
      </c>
      <c r="C159" s="373"/>
      <c r="D159" s="370">
        <v>134</v>
      </c>
      <c r="E159" s="371"/>
      <c r="F159" s="107"/>
    </row>
    <row r="160" spans="2:14" x14ac:dyDescent="0.3">
      <c r="B160" s="372" t="s">
        <v>125</v>
      </c>
      <c r="C160" s="373"/>
      <c r="D160" s="370">
        <v>70</v>
      </c>
      <c r="E160" s="371"/>
      <c r="F160" s="107"/>
    </row>
    <row r="161" spans="2:15" x14ac:dyDescent="0.3">
      <c r="B161" s="372" t="s">
        <v>110</v>
      </c>
      <c r="C161" s="373"/>
      <c r="D161" s="370">
        <v>50</v>
      </c>
      <c r="E161" s="371"/>
      <c r="F161" s="107">
        <v>21</v>
      </c>
    </row>
    <row r="162" spans="2:15" x14ac:dyDescent="0.3">
      <c r="B162" s="372" t="s">
        <v>157</v>
      </c>
      <c r="C162" s="373"/>
      <c r="D162" s="370">
        <v>170</v>
      </c>
      <c r="E162" s="371"/>
      <c r="F162" s="107"/>
    </row>
    <row r="163" spans="2:15" ht="24.75" customHeight="1" x14ac:dyDescent="0.3">
      <c r="B163" s="372" t="s">
        <v>128</v>
      </c>
      <c r="C163" s="373"/>
      <c r="D163" s="370">
        <v>74</v>
      </c>
      <c r="E163" s="371"/>
      <c r="F163" s="107"/>
    </row>
    <row r="164" spans="2:15" ht="24" customHeight="1" x14ac:dyDescent="0.3">
      <c r="B164" s="395" t="s">
        <v>158</v>
      </c>
      <c r="C164" s="396"/>
      <c r="D164" s="353">
        <v>32</v>
      </c>
      <c r="E164" s="354"/>
      <c r="F164" s="108"/>
    </row>
    <row r="165" spans="2:15" ht="24.75" customHeight="1" x14ac:dyDescent="0.3">
      <c r="B165" s="395" t="s">
        <v>159</v>
      </c>
      <c r="C165" s="396"/>
      <c r="D165" s="353">
        <v>394</v>
      </c>
      <c r="E165" s="354"/>
      <c r="F165" s="108"/>
    </row>
    <row r="166" spans="2:15" ht="26.25" customHeight="1" x14ac:dyDescent="0.3">
      <c r="B166" s="397" t="s">
        <v>160</v>
      </c>
      <c r="C166" s="398"/>
      <c r="D166" s="355">
        <v>182</v>
      </c>
      <c r="E166" s="356"/>
      <c r="F166" s="109"/>
    </row>
    <row r="167" spans="2:15" ht="27" customHeight="1" x14ac:dyDescent="0.3">
      <c r="B167" s="387" t="s">
        <v>161</v>
      </c>
      <c r="C167" s="388"/>
      <c r="D167" s="357">
        <v>132</v>
      </c>
      <c r="E167" s="358"/>
      <c r="F167" s="110"/>
    </row>
    <row r="168" spans="2:15" ht="27.75" customHeight="1" x14ac:dyDescent="0.3">
      <c r="B168" s="387" t="s">
        <v>162</v>
      </c>
      <c r="C168" s="388"/>
      <c r="D168" s="357">
        <v>514</v>
      </c>
      <c r="E168" s="358"/>
      <c r="F168" s="110"/>
    </row>
    <row r="169" spans="2:15" ht="26.25" customHeight="1" x14ac:dyDescent="0.3">
      <c r="B169" s="389" t="s">
        <v>163</v>
      </c>
      <c r="C169" s="390"/>
      <c r="D169" s="359">
        <v>2258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40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112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1</v>
      </c>
    </row>
    <row r="174" spans="2:15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5" ht="15" thickTop="1" x14ac:dyDescent="0.3">
      <c r="B175" s="164" t="s">
        <v>166</v>
      </c>
      <c r="C175" s="165"/>
      <c r="D175" s="343">
        <f>SUM(D152:E174)</f>
        <v>13030</v>
      </c>
      <c r="E175" s="344"/>
      <c r="F175" s="184">
        <f>SUM(F152:F174)</f>
        <v>22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6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26">
        <v>50</v>
      </c>
      <c r="F178" s="337">
        <v>21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v>3926</v>
      </c>
      <c r="F181" s="126"/>
      <c r="I181" s="29"/>
      <c r="J181" s="29"/>
      <c r="K181" s="54"/>
      <c r="L181" s="54"/>
      <c r="M181" s="58"/>
    </row>
    <row r="182" spans="2:14" x14ac:dyDescent="0.3">
      <c r="C182" s="345" t="s">
        <v>114</v>
      </c>
      <c r="D182" s="346"/>
      <c r="E182" s="126">
        <v>3456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112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  <c r="D185" t="s">
        <v>373</v>
      </c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40</v>
      </c>
      <c r="E187" s="143">
        <v>46</v>
      </c>
      <c r="F187" s="143">
        <v>369</v>
      </c>
      <c r="G187" s="177">
        <v>247</v>
      </c>
      <c r="H187" s="177">
        <v>114</v>
      </c>
      <c r="I187" s="177">
        <v>0</v>
      </c>
      <c r="J187" s="177">
        <v>37</v>
      </c>
      <c r="K187" s="177">
        <v>44</v>
      </c>
      <c r="L187" s="177">
        <v>228</v>
      </c>
      <c r="M187" s="177">
        <f>SUM(D187:L187)</f>
        <v>1125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119</v>
      </c>
      <c r="H188" s="126" t="s">
        <v>126</v>
      </c>
      <c r="I188" s="126" t="s">
        <v>126</v>
      </c>
      <c r="J188" s="126" t="s">
        <v>126</v>
      </c>
      <c r="K188" s="126">
        <v>40</v>
      </c>
      <c r="L188" s="126">
        <v>315</v>
      </c>
      <c r="M188" s="177">
        <f t="shared" ref="M188:M190" si="12">SUM(D188:L188)</f>
        <v>474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0</v>
      </c>
      <c r="G189" s="128">
        <v>1</v>
      </c>
      <c r="H189" s="144">
        <v>0</v>
      </c>
      <c r="I189" s="144">
        <v>0</v>
      </c>
      <c r="J189" s="128" t="s">
        <v>126</v>
      </c>
      <c r="K189" s="128">
        <v>3</v>
      </c>
      <c r="L189" s="144">
        <v>0</v>
      </c>
      <c r="M189" s="177">
        <f t="shared" si="12"/>
        <v>4</v>
      </c>
    </row>
    <row r="190" spans="2:14" ht="15" thickTop="1" x14ac:dyDescent="0.3">
      <c r="C190" s="38" t="s">
        <v>12</v>
      </c>
      <c r="D190" s="143">
        <f>SUM(D187:D189)</f>
        <v>40</v>
      </c>
      <c r="E190" s="143">
        <f>SUM(E187:E189)</f>
        <v>46</v>
      </c>
      <c r="F190" s="143">
        <f t="shared" ref="F190:L190" si="13">SUM(F187:F189)</f>
        <v>369</v>
      </c>
      <c r="G190" s="143">
        <f t="shared" si="13"/>
        <v>367</v>
      </c>
      <c r="H190" s="177">
        <f t="shared" si="13"/>
        <v>114</v>
      </c>
      <c r="I190" s="143">
        <f t="shared" si="13"/>
        <v>0</v>
      </c>
      <c r="J190" s="143">
        <f t="shared" si="13"/>
        <v>37</v>
      </c>
      <c r="K190" s="143">
        <f t="shared" si="13"/>
        <v>87</v>
      </c>
      <c r="L190" s="177">
        <f t="shared" si="13"/>
        <v>543</v>
      </c>
      <c r="M190" s="177">
        <f t="shared" si="12"/>
        <v>1603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s="68" t="s">
        <v>339</v>
      </c>
      <c r="D196" s="22"/>
      <c r="E196" s="22"/>
      <c r="F196" s="22"/>
      <c r="G196" s="69"/>
      <c r="H196" s="70" t="s">
        <v>342</v>
      </c>
      <c r="I196" s="71"/>
      <c r="J196" s="72"/>
      <c r="K196" s="73"/>
      <c r="L196" s="74"/>
      <c r="M196" s="74"/>
      <c r="N196" s="75"/>
    </row>
    <row r="197" spans="2:14" x14ac:dyDescent="0.3">
      <c r="B197" s="197" t="s">
        <v>340</v>
      </c>
      <c r="C197" s="22"/>
      <c r="D197" s="22"/>
      <c r="E197" s="22"/>
      <c r="F197" s="22"/>
      <c r="G197" s="72"/>
      <c r="H197" s="70" t="s">
        <v>343</v>
      </c>
      <c r="I197" s="72"/>
      <c r="J197" s="72"/>
      <c r="K197" s="72"/>
      <c r="L197" s="76"/>
      <c r="M197" s="76"/>
      <c r="N197" s="77"/>
    </row>
    <row r="198" spans="2:14" x14ac:dyDescent="0.3">
      <c r="B198" s="197" t="s">
        <v>341</v>
      </c>
      <c r="C198" s="22"/>
      <c r="D198" s="22"/>
      <c r="E198" s="22"/>
      <c r="F198" s="22"/>
      <c r="G198" s="72"/>
      <c r="H198" s="70" t="s">
        <v>348</v>
      </c>
      <c r="I198" s="72"/>
      <c r="J198" s="72"/>
      <c r="K198" s="72"/>
      <c r="L198" s="76"/>
      <c r="M198" s="76"/>
      <c r="N198" s="77"/>
    </row>
    <row r="199" spans="2:14" x14ac:dyDescent="0.3">
      <c r="B199" s="9"/>
      <c r="H199" s="70" t="s">
        <v>354</v>
      </c>
      <c r="I199" s="72"/>
      <c r="J199" s="72"/>
      <c r="K199" s="72"/>
      <c r="L199" s="76"/>
      <c r="M199" s="76"/>
      <c r="N199" s="77"/>
    </row>
    <row r="200" spans="2:14" x14ac:dyDescent="0.3">
      <c r="B200" s="78" t="s">
        <v>136</v>
      </c>
      <c r="C200" s="22"/>
      <c r="D200" s="22"/>
      <c r="E200" s="22"/>
      <c r="F200" s="22"/>
      <c r="G200" s="69"/>
      <c r="H200" s="200" t="s">
        <v>355</v>
      </c>
      <c r="I200" s="283"/>
      <c r="J200" s="283"/>
      <c r="K200" s="283"/>
      <c r="L200" s="283"/>
      <c r="M200" s="10"/>
      <c r="N200" s="30"/>
    </row>
    <row r="201" spans="2:14" ht="17.399999999999999" x14ac:dyDescent="0.3">
      <c r="B201" s="197" t="s">
        <v>357</v>
      </c>
      <c r="C201" s="10"/>
      <c r="D201" s="10"/>
      <c r="E201" s="10"/>
      <c r="F201" s="10"/>
      <c r="G201" s="10"/>
      <c r="I201" s="72"/>
      <c r="J201" s="71"/>
      <c r="K201" s="83"/>
      <c r="L201" s="22"/>
      <c r="M201" s="22"/>
      <c r="N201" s="84"/>
    </row>
    <row r="202" spans="2:14" ht="17.399999999999999" x14ac:dyDescent="0.3">
      <c r="B202" s="80" t="s">
        <v>362</v>
      </c>
      <c r="C202" s="82"/>
      <c r="D202" s="22"/>
      <c r="E202" s="22"/>
      <c r="F202" s="22"/>
      <c r="G202" s="72"/>
      <c r="I202" s="71"/>
      <c r="J202" s="72"/>
      <c r="K202" s="72"/>
      <c r="L202" s="22"/>
      <c r="M202" s="22"/>
      <c r="N202" s="84"/>
    </row>
    <row r="203" spans="2:14" ht="17.399999999999999" x14ac:dyDescent="0.3">
      <c r="B203" s="80" t="s">
        <v>358</v>
      </c>
      <c r="C203" s="22"/>
      <c r="D203" s="22"/>
      <c r="E203" s="22"/>
      <c r="F203" s="22"/>
      <c r="G203" s="72"/>
      <c r="H203" s="85"/>
      <c r="I203" s="71"/>
      <c r="J203" s="71"/>
      <c r="K203" s="71"/>
      <c r="L203" s="71"/>
      <c r="M203" s="22"/>
      <c r="N203" s="84"/>
    </row>
    <row r="204" spans="2:14" x14ac:dyDescent="0.3">
      <c r="B204" s="80" t="s">
        <v>359</v>
      </c>
      <c r="C204" s="82"/>
      <c r="D204" s="22"/>
      <c r="E204" s="22"/>
      <c r="F204" s="22"/>
      <c r="G204" s="22"/>
      <c r="H204" s="79" t="s">
        <v>168</v>
      </c>
      <c r="I204" s="10"/>
      <c r="J204" s="72"/>
      <c r="K204" s="72"/>
      <c r="L204" s="22"/>
      <c r="M204" s="22"/>
      <c r="N204" s="84"/>
    </row>
    <row r="205" spans="2:14" x14ac:dyDescent="0.3">
      <c r="B205" s="81" t="s">
        <v>360</v>
      </c>
      <c r="C205" s="22"/>
      <c r="D205" s="79"/>
      <c r="E205" s="22"/>
      <c r="F205" s="79"/>
      <c r="G205" s="86"/>
      <c r="H205" s="70"/>
      <c r="I205" s="10"/>
      <c r="J205" s="72"/>
      <c r="K205" s="72"/>
      <c r="L205" s="22"/>
      <c r="M205" s="22"/>
      <c r="N205" s="84"/>
    </row>
    <row r="206" spans="2:14" x14ac:dyDescent="0.3">
      <c r="B206" s="197" t="s">
        <v>349</v>
      </c>
      <c r="C206" s="22"/>
      <c r="D206" s="22"/>
      <c r="E206" s="22"/>
      <c r="F206" s="22"/>
      <c r="G206" s="86"/>
      <c r="H206" s="88" t="s">
        <v>138</v>
      </c>
      <c r="L206" s="22"/>
      <c r="M206" s="22"/>
      <c r="N206" s="84"/>
    </row>
    <row r="207" spans="2:14" ht="17.399999999999999" x14ac:dyDescent="0.3">
      <c r="B207" s="197" t="s">
        <v>361</v>
      </c>
      <c r="C207" s="22"/>
      <c r="D207" s="22"/>
      <c r="E207" s="22"/>
      <c r="F207" s="22"/>
      <c r="G207" s="86"/>
      <c r="H207" s="70" t="s">
        <v>347</v>
      </c>
      <c r="I207" s="10"/>
      <c r="J207" s="71"/>
      <c r="K207" s="71"/>
      <c r="L207" s="22"/>
      <c r="M207" s="22"/>
      <c r="N207" s="84"/>
    </row>
    <row r="208" spans="2:14" x14ac:dyDescent="0.3">
      <c r="B208" s="80"/>
      <c r="C208" s="22"/>
      <c r="D208" s="22"/>
      <c r="E208" s="22"/>
      <c r="F208" s="22"/>
      <c r="G208" s="69"/>
      <c r="H208" s="70" t="s">
        <v>350</v>
      </c>
      <c r="I208" s="10"/>
      <c r="J208" s="72"/>
      <c r="L208" s="76"/>
      <c r="M208" s="76"/>
      <c r="N208" s="77"/>
    </row>
    <row r="209" spans="2:14" x14ac:dyDescent="0.3">
      <c r="B209" s="87" t="s">
        <v>137</v>
      </c>
      <c r="C209" s="22"/>
      <c r="D209" s="22"/>
      <c r="E209" s="22"/>
      <c r="F209" s="22"/>
      <c r="G209" s="69"/>
      <c r="I209" s="10"/>
      <c r="J209" s="72"/>
      <c r="K209" s="72"/>
      <c r="L209" s="76"/>
      <c r="M209" s="76"/>
      <c r="N209" s="77"/>
    </row>
    <row r="210" spans="2:14" ht="17.399999999999999" x14ac:dyDescent="0.3">
      <c r="B210" s="81" t="s">
        <v>344</v>
      </c>
      <c r="C210" s="22"/>
      <c r="D210" s="22"/>
      <c r="E210" s="22"/>
      <c r="F210" s="22"/>
      <c r="G210" s="69"/>
      <c r="H210" s="79" t="s">
        <v>95</v>
      </c>
      <c r="I210" s="10"/>
      <c r="J210" s="71"/>
      <c r="K210" s="71"/>
      <c r="L210" s="76"/>
      <c r="M210" s="76"/>
      <c r="N210" s="77"/>
    </row>
    <row r="211" spans="2:14" x14ac:dyDescent="0.3">
      <c r="B211" s="81" t="s">
        <v>345</v>
      </c>
      <c r="C211" s="22"/>
      <c r="D211" s="22"/>
      <c r="E211" s="10"/>
      <c r="F211" s="10"/>
      <c r="G211" s="10"/>
      <c r="H211" s="85" t="s">
        <v>353</v>
      </c>
      <c r="I211" s="10"/>
      <c r="J211" s="10"/>
      <c r="K211" s="10"/>
      <c r="L211" s="10"/>
      <c r="M211" s="10"/>
      <c r="N211" s="30"/>
    </row>
    <row r="212" spans="2:14" x14ac:dyDescent="0.3">
      <c r="B212" s="80" t="s">
        <v>346</v>
      </c>
      <c r="C212" s="22"/>
      <c r="D212" s="22"/>
      <c r="E212" s="22"/>
      <c r="F212" s="22"/>
      <c r="G212" s="69"/>
      <c r="I212" s="10"/>
      <c r="J212" s="10"/>
      <c r="K212" s="10"/>
      <c r="L212" s="76"/>
      <c r="M212" s="76"/>
      <c r="N212" s="77"/>
    </row>
    <row r="213" spans="2:14" x14ac:dyDescent="0.3">
      <c r="B213" s="80" t="s">
        <v>356</v>
      </c>
      <c r="C213" s="79"/>
      <c r="D213" s="79"/>
      <c r="E213" s="22"/>
      <c r="F213" s="22"/>
      <c r="G213" s="69"/>
      <c r="I213" s="10"/>
      <c r="J213" s="72"/>
      <c r="K213" s="72"/>
      <c r="L213" s="76"/>
      <c r="M213" s="76"/>
      <c r="N213" s="77"/>
    </row>
    <row r="214" spans="2:14" x14ac:dyDescent="0.3">
      <c r="B214" s="80" t="s">
        <v>351</v>
      </c>
      <c r="C214" s="22"/>
      <c r="D214" s="22"/>
      <c r="E214" s="22"/>
      <c r="F214" s="82"/>
      <c r="G214" s="22"/>
      <c r="H214" s="89"/>
      <c r="I214" s="10"/>
      <c r="J214" s="22"/>
      <c r="K214" s="72"/>
      <c r="L214" s="10"/>
      <c r="M214" s="10"/>
      <c r="N214" s="30"/>
    </row>
    <row r="215" spans="2:14" ht="17.399999999999999" x14ac:dyDescent="0.3">
      <c r="B215" s="197" t="s">
        <v>352</v>
      </c>
      <c r="C215" s="22"/>
      <c r="D215" s="22"/>
      <c r="E215" s="22"/>
      <c r="F215" s="22"/>
      <c r="G215" s="69"/>
      <c r="I215" s="10"/>
      <c r="J215" s="71"/>
      <c r="K215" s="71"/>
      <c r="L215" s="22"/>
      <c r="M215" s="22"/>
      <c r="N215" s="84"/>
    </row>
    <row r="216" spans="2:14" ht="17.399999999999999" x14ac:dyDescent="0.3">
      <c r="B216" s="90"/>
      <c r="C216" s="91"/>
      <c r="D216" s="91"/>
      <c r="E216" s="91"/>
      <c r="F216" s="92"/>
      <c r="G216" s="93"/>
      <c r="H216" s="94"/>
      <c r="I216" s="95"/>
      <c r="J216" s="93"/>
      <c r="K216" s="95"/>
      <c r="L216" s="96"/>
      <c r="M216" s="96"/>
      <c r="N216" s="97"/>
    </row>
    <row r="217" spans="2:14" x14ac:dyDescent="0.3">
      <c r="B217" s="82"/>
      <c r="C217" s="69"/>
      <c r="D217" s="72"/>
      <c r="E217" s="72"/>
      <c r="F217" s="72"/>
      <c r="G217" s="72"/>
      <c r="H217" s="76"/>
      <c r="I217" s="76"/>
      <c r="J217" s="76"/>
      <c r="K217" s="76"/>
      <c r="L217" s="74"/>
      <c r="M217" s="74"/>
      <c r="N217" s="22"/>
    </row>
  </sheetData>
  <mergeCells count="72"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D166:E166"/>
    <mergeCell ref="B161:C161"/>
    <mergeCell ref="D161:E161"/>
    <mergeCell ref="B162:C162"/>
    <mergeCell ref="D162:E162"/>
    <mergeCell ref="B163:C163"/>
    <mergeCell ref="D163:E16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G152:I152"/>
    <mergeCell ref="F178:G178"/>
    <mergeCell ref="C181:D181"/>
    <mergeCell ref="C182:D182"/>
    <mergeCell ref="C183:D183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</mergeCells>
  <pageMargins left="0.7" right="0.7" top="0.75" bottom="0.75" header="0.3" footer="0.3"/>
  <pageSetup scale="65" fitToHeight="0" orientation="portrait" r:id="rId1"/>
  <rowBreaks count="2" manualBreakCount="2">
    <brk id="65" max="16383" man="1"/>
    <brk id="1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opLeftCell="A67" workbookViewId="0">
      <selection activeCell="G145" sqref="G145"/>
    </sheetView>
  </sheetViews>
  <sheetFormatPr defaultRowHeight="14.4" x14ac:dyDescent="0.3"/>
  <cols>
    <col min="8" max="8" width="10.44140625" bestFit="1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>
        <v>43160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204" t="s">
        <v>17</v>
      </c>
      <c r="D6" s="126">
        <v>71</v>
      </c>
      <c r="E6" s="126">
        <v>0</v>
      </c>
      <c r="F6" s="126">
        <v>149</v>
      </c>
      <c r="G6" s="127">
        <v>277</v>
      </c>
      <c r="H6" s="127">
        <v>78</v>
      </c>
      <c r="I6" s="127">
        <v>1</v>
      </c>
      <c r="J6" s="127">
        <v>4</v>
      </c>
      <c r="K6" s="127">
        <v>89</v>
      </c>
      <c r="L6" s="127">
        <v>58</v>
      </c>
      <c r="M6" s="127">
        <f>SUM(D6:L6)</f>
        <v>727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126">
        <v>1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6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12</v>
      </c>
      <c r="H8" s="127">
        <v>19</v>
      </c>
      <c r="I8" s="127">
        <v>1</v>
      </c>
      <c r="J8" s="126">
        <v>0</v>
      </c>
      <c r="K8" s="126">
        <v>26</v>
      </c>
      <c r="L8" s="127">
        <v>0</v>
      </c>
      <c r="M8" s="127">
        <f>SUM(D8:L8)</f>
        <v>78</v>
      </c>
    </row>
    <row r="9" spans="2:15" x14ac:dyDescent="0.3">
      <c r="C9" s="38" t="s">
        <v>20</v>
      </c>
      <c r="D9" s="126">
        <v>6</v>
      </c>
      <c r="E9" s="126">
        <v>4</v>
      </c>
      <c r="F9" s="126">
        <v>22</v>
      </c>
      <c r="G9" s="126">
        <v>56</v>
      </c>
      <c r="H9" s="127">
        <v>21</v>
      </c>
      <c r="I9" s="126">
        <v>1</v>
      </c>
      <c r="J9" s="126">
        <v>2</v>
      </c>
      <c r="K9" s="126">
        <v>24</v>
      </c>
      <c r="L9" s="127">
        <v>4</v>
      </c>
      <c r="M9" s="127">
        <f>SUM(D9:L9)</f>
        <v>140</v>
      </c>
    </row>
    <row r="10" spans="2:15" x14ac:dyDescent="0.3">
      <c r="C10" s="38" t="s">
        <v>21</v>
      </c>
      <c r="D10" s="127">
        <v>123</v>
      </c>
      <c r="E10" s="126">
        <v>59</v>
      </c>
      <c r="F10" s="126">
        <v>261</v>
      </c>
      <c r="G10" s="126">
        <v>281</v>
      </c>
      <c r="H10" s="127">
        <v>152</v>
      </c>
      <c r="I10" s="126">
        <v>13</v>
      </c>
      <c r="J10" s="126">
        <v>9</v>
      </c>
      <c r="K10" s="126">
        <v>490</v>
      </c>
      <c r="L10" s="127">
        <v>152</v>
      </c>
      <c r="M10" s="127">
        <f>SUM(D10:L10)</f>
        <v>1540</v>
      </c>
    </row>
    <row r="11" spans="2:15" x14ac:dyDescent="0.3">
      <c r="C11" s="38" t="s">
        <v>12</v>
      </c>
      <c r="D11" s="127">
        <f t="shared" ref="D11:M11" si="0">SUM(D6:D10)</f>
        <v>202</v>
      </c>
      <c r="E11" s="126">
        <f t="shared" si="0"/>
        <v>65</v>
      </c>
      <c r="F11" s="127">
        <f t="shared" si="0"/>
        <v>450</v>
      </c>
      <c r="G11" s="127">
        <f t="shared" si="0"/>
        <v>627</v>
      </c>
      <c r="H11" s="127">
        <f t="shared" si="0"/>
        <v>271</v>
      </c>
      <c r="I11" s="126">
        <f t="shared" si="0"/>
        <v>16</v>
      </c>
      <c r="J11" s="126">
        <f t="shared" si="0"/>
        <v>15</v>
      </c>
      <c r="K11" s="126">
        <f t="shared" si="0"/>
        <v>629</v>
      </c>
      <c r="L11" s="126">
        <f t="shared" si="0"/>
        <v>216</v>
      </c>
      <c r="M11" s="127">
        <f t="shared" si="0"/>
        <v>2491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207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216" t="s">
        <v>24</v>
      </c>
      <c r="D16" s="126">
        <v>68</v>
      </c>
      <c r="E16" s="126">
        <v>2</v>
      </c>
      <c r="F16" s="126">
        <v>30</v>
      </c>
      <c r="G16" s="127">
        <v>182</v>
      </c>
      <c r="H16" s="127">
        <v>116</v>
      </c>
      <c r="I16" s="127">
        <v>35</v>
      </c>
      <c r="J16" s="127">
        <v>4</v>
      </c>
      <c r="K16" s="127">
        <v>117</v>
      </c>
      <c r="L16" s="127">
        <v>23</v>
      </c>
      <c r="M16" s="127">
        <f t="shared" ref="M16:M21" si="1">SUM(D16:L16)</f>
        <v>577</v>
      </c>
    </row>
    <row r="17" spans="2:13" x14ac:dyDescent="0.3">
      <c r="C17" s="38" t="s">
        <v>25</v>
      </c>
      <c r="D17" s="126">
        <v>12</v>
      </c>
      <c r="E17" s="126">
        <v>2</v>
      </c>
      <c r="F17" s="127">
        <v>8</v>
      </c>
      <c r="G17" s="126">
        <v>59</v>
      </c>
      <c r="H17" s="126">
        <v>68</v>
      </c>
      <c r="I17" s="126">
        <v>2</v>
      </c>
      <c r="J17" s="126">
        <v>5</v>
      </c>
      <c r="K17" s="126">
        <v>30</v>
      </c>
      <c r="L17" s="126">
        <v>33</v>
      </c>
      <c r="M17" s="127">
        <f t="shared" si="1"/>
        <v>219</v>
      </c>
    </row>
    <row r="18" spans="2:13" x14ac:dyDescent="0.3">
      <c r="C18" s="38" t="s">
        <v>26</v>
      </c>
      <c r="D18" s="126">
        <v>132</v>
      </c>
      <c r="E18" s="126">
        <v>214</v>
      </c>
      <c r="F18" s="126">
        <f>406</f>
        <v>406</v>
      </c>
      <c r="G18" s="126">
        <v>211</v>
      </c>
      <c r="H18" s="127">
        <v>241</v>
      </c>
      <c r="I18" s="127">
        <v>0</v>
      </c>
      <c r="J18" s="126">
        <v>6</v>
      </c>
      <c r="K18" s="126">
        <v>240</v>
      </c>
      <c r="L18" s="127">
        <v>165</v>
      </c>
      <c r="M18" s="127">
        <f t="shared" si="1"/>
        <v>1615</v>
      </c>
    </row>
    <row r="19" spans="2:13" x14ac:dyDescent="0.3">
      <c r="C19" s="38" t="s">
        <v>27</v>
      </c>
      <c r="D19" s="126">
        <f>22+32</f>
        <v>54</v>
      </c>
      <c r="E19" s="126">
        <f>34+44</f>
        <v>78</v>
      </c>
      <c r="F19" s="126">
        <f>20+27</f>
        <v>47</v>
      </c>
      <c r="G19" s="126">
        <f>25+36</f>
        <v>61</v>
      </c>
      <c r="H19" s="127">
        <f>25+43</f>
        <v>68</v>
      </c>
      <c r="I19" s="126">
        <f>15+18</f>
        <v>33</v>
      </c>
      <c r="J19" s="126">
        <f>7+39</f>
        <v>46</v>
      </c>
      <c r="K19" s="126">
        <f>23+55</f>
        <v>78</v>
      </c>
      <c r="L19" s="127">
        <f>19+42</f>
        <v>61</v>
      </c>
      <c r="M19" s="127">
        <f t="shared" si="1"/>
        <v>526</v>
      </c>
    </row>
    <row r="20" spans="2:13" x14ac:dyDescent="0.3">
      <c r="C20" s="38" t="s">
        <v>28</v>
      </c>
      <c r="D20" s="127">
        <f>D59</f>
        <v>30</v>
      </c>
      <c r="E20" s="127">
        <f t="shared" ref="E20:L20" si="2">E59</f>
        <v>18</v>
      </c>
      <c r="F20" s="127">
        <f t="shared" si="2"/>
        <v>45</v>
      </c>
      <c r="G20" s="127">
        <f t="shared" si="2"/>
        <v>65</v>
      </c>
      <c r="H20" s="127">
        <f t="shared" si="2"/>
        <v>62</v>
      </c>
      <c r="I20" s="127">
        <f t="shared" si="2"/>
        <v>10</v>
      </c>
      <c r="J20" s="127">
        <f t="shared" si="2"/>
        <v>15</v>
      </c>
      <c r="K20" s="127">
        <f t="shared" si="2"/>
        <v>136</v>
      </c>
      <c r="L20" s="127">
        <f t="shared" si="2"/>
        <v>50</v>
      </c>
      <c r="M20" s="127">
        <f t="shared" si="1"/>
        <v>431</v>
      </c>
    </row>
    <row r="21" spans="2:13" x14ac:dyDescent="0.3">
      <c r="C21" s="38" t="s">
        <v>12</v>
      </c>
      <c r="D21" s="127">
        <f t="shared" ref="D21:L21" si="3">SUM(D16:D20)</f>
        <v>296</v>
      </c>
      <c r="E21" s="126">
        <f t="shared" si="3"/>
        <v>314</v>
      </c>
      <c r="F21" s="127">
        <f t="shared" si="3"/>
        <v>536</v>
      </c>
      <c r="G21" s="127">
        <f t="shared" si="3"/>
        <v>578</v>
      </c>
      <c r="H21" s="127">
        <f t="shared" si="3"/>
        <v>555</v>
      </c>
      <c r="I21" s="126">
        <f t="shared" si="3"/>
        <v>80</v>
      </c>
      <c r="J21" s="126">
        <f t="shared" si="3"/>
        <v>76</v>
      </c>
      <c r="K21" s="126">
        <f t="shared" si="3"/>
        <v>601</v>
      </c>
      <c r="L21" s="126">
        <f t="shared" si="3"/>
        <v>332</v>
      </c>
      <c r="M21" s="127">
        <f t="shared" si="1"/>
        <v>3368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2</v>
      </c>
      <c r="L23" s="126">
        <v>0</v>
      </c>
      <c r="M23" s="126">
        <f>SUM(D23:L23)</f>
        <v>2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35</v>
      </c>
      <c r="L24" s="126">
        <v>0</v>
      </c>
      <c r="M24" s="134">
        <f>SUM(D24:L24)</f>
        <v>35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59">
        <v>0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59">
        <v>0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/>
      <c r="E31" s="126"/>
      <c r="F31" s="126"/>
      <c r="G31" s="127"/>
      <c r="H31" s="127"/>
      <c r="I31" s="127"/>
      <c r="J31" s="127"/>
      <c r="K31" s="127"/>
      <c r="L31" s="127"/>
      <c r="M31" s="127">
        <f t="shared" ref="M31:M58" si="4">SUM(D31:L31)</f>
        <v>0</v>
      </c>
    </row>
    <row r="32" spans="2:13" x14ac:dyDescent="0.3">
      <c r="C32" s="38" t="s">
        <v>34</v>
      </c>
      <c r="D32" s="126"/>
      <c r="E32" s="126"/>
      <c r="F32" s="127">
        <v>1</v>
      </c>
      <c r="G32" s="126"/>
      <c r="H32" s="126">
        <v>2</v>
      </c>
      <c r="I32" s="126"/>
      <c r="J32" s="126"/>
      <c r="K32" s="126"/>
      <c r="L32" s="126">
        <v>2</v>
      </c>
      <c r="M32" s="127">
        <f t="shared" si="4"/>
        <v>5</v>
      </c>
    </row>
    <row r="33" spans="3:13" x14ac:dyDescent="0.3">
      <c r="C33" s="38" t="s">
        <v>35</v>
      </c>
      <c r="D33" s="126"/>
      <c r="E33" s="126"/>
      <c r="F33" s="126">
        <v>2</v>
      </c>
      <c r="G33" s="126">
        <v>6</v>
      </c>
      <c r="H33" s="127"/>
      <c r="I33" s="127"/>
      <c r="J33" s="126"/>
      <c r="K33" s="126">
        <v>11</v>
      </c>
      <c r="L33" s="127">
        <v>1</v>
      </c>
      <c r="M33" s="127">
        <f t="shared" si="4"/>
        <v>20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4"/>
        <v>0</v>
      </c>
    </row>
    <row r="35" spans="3:13" x14ac:dyDescent="0.3">
      <c r="C35" s="38" t="s">
        <v>37</v>
      </c>
      <c r="D35" s="127">
        <v>8</v>
      </c>
      <c r="E35" s="126">
        <v>6</v>
      </c>
      <c r="F35" s="126">
        <v>5</v>
      </c>
      <c r="G35" s="126">
        <v>9</v>
      </c>
      <c r="H35" s="127">
        <v>3</v>
      </c>
      <c r="I35" s="126"/>
      <c r="J35" s="126"/>
      <c r="K35" s="126">
        <v>6</v>
      </c>
      <c r="L35" s="127">
        <v>12</v>
      </c>
      <c r="M35" s="127">
        <f t="shared" si="4"/>
        <v>49</v>
      </c>
    </row>
    <row r="36" spans="3:13" x14ac:dyDescent="0.3">
      <c r="C36" s="38" t="s">
        <v>38</v>
      </c>
      <c r="D36" s="127">
        <v>1</v>
      </c>
      <c r="E36" s="126"/>
      <c r="F36" s="127"/>
      <c r="G36" s="127"/>
      <c r="H36" s="127"/>
      <c r="I36" s="126"/>
      <c r="J36" s="126"/>
      <c r="K36" s="126">
        <v>1</v>
      </c>
      <c r="L36" s="126"/>
      <c r="M36" s="127">
        <f t="shared" si="4"/>
        <v>2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>
        <v>1</v>
      </c>
      <c r="I39" s="127"/>
      <c r="J39" s="126"/>
      <c r="K39" s="126"/>
      <c r="L39" s="127"/>
      <c r="M39" s="127">
        <f t="shared" si="4"/>
        <v>1</v>
      </c>
    </row>
    <row r="40" spans="3:13" x14ac:dyDescent="0.3">
      <c r="C40" s="38" t="s">
        <v>42</v>
      </c>
      <c r="D40" s="126">
        <v>1</v>
      </c>
      <c r="E40" s="126"/>
      <c r="F40" s="127">
        <v>1</v>
      </c>
      <c r="G40" s="127">
        <v>5</v>
      </c>
      <c r="H40" s="127">
        <v>2</v>
      </c>
      <c r="I40" s="127"/>
      <c r="J40" s="126"/>
      <c r="K40" s="126">
        <v>2</v>
      </c>
      <c r="L40" s="127"/>
      <c r="M40" s="127">
        <f t="shared" si="4"/>
        <v>11</v>
      </c>
    </row>
    <row r="41" spans="3:13" x14ac:dyDescent="0.3">
      <c r="C41" s="38" t="s">
        <v>43</v>
      </c>
      <c r="D41" s="126">
        <v>2</v>
      </c>
      <c r="E41" s="126"/>
      <c r="F41" s="127">
        <v>14</v>
      </c>
      <c r="G41" s="127">
        <v>1</v>
      </c>
      <c r="H41" s="127">
        <v>4</v>
      </c>
      <c r="I41" s="127">
        <v>1</v>
      </c>
      <c r="J41" s="126">
        <v>1</v>
      </c>
      <c r="K41" s="126">
        <v>11</v>
      </c>
      <c r="L41" s="127">
        <v>6</v>
      </c>
      <c r="M41" s="127">
        <f t="shared" si="4"/>
        <v>40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4"/>
        <v>0</v>
      </c>
    </row>
    <row r="43" spans="3:13" x14ac:dyDescent="0.3">
      <c r="C43" s="37" t="s">
        <v>45</v>
      </c>
      <c r="D43" s="126">
        <v>6</v>
      </c>
      <c r="E43" s="126">
        <v>2</v>
      </c>
      <c r="F43" s="127">
        <v>10</v>
      </c>
      <c r="G43" s="127">
        <v>13</v>
      </c>
      <c r="H43" s="127">
        <v>19</v>
      </c>
      <c r="I43" s="127">
        <v>3</v>
      </c>
      <c r="J43" s="127">
        <v>10</v>
      </c>
      <c r="K43" s="127">
        <v>16</v>
      </c>
      <c r="L43" s="127">
        <v>7</v>
      </c>
      <c r="M43" s="127">
        <f t="shared" si="4"/>
        <v>86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3">
      <c r="C48" s="37" t="s">
        <v>50</v>
      </c>
      <c r="D48" s="127">
        <v>9</v>
      </c>
      <c r="E48" s="127">
        <v>5</v>
      </c>
      <c r="F48" s="127">
        <v>9</v>
      </c>
      <c r="G48" s="127">
        <v>16</v>
      </c>
      <c r="H48" s="127">
        <v>20</v>
      </c>
      <c r="I48" s="127">
        <v>1</v>
      </c>
      <c r="J48" s="127">
        <v>4</v>
      </c>
      <c r="K48" s="127">
        <v>38</v>
      </c>
      <c r="L48" s="127">
        <v>12</v>
      </c>
      <c r="M48" s="127">
        <f t="shared" si="4"/>
        <v>114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3">
      <c r="C51" s="38" t="s">
        <v>53</v>
      </c>
      <c r="D51" s="127">
        <v>1</v>
      </c>
      <c r="E51" s="126"/>
      <c r="F51" s="127"/>
      <c r="G51" s="127"/>
      <c r="H51" s="127"/>
      <c r="I51" s="127">
        <v>2</v>
      </c>
      <c r="J51" s="127"/>
      <c r="K51" s="127">
        <v>5</v>
      </c>
      <c r="L51" s="127"/>
      <c r="M51" s="127">
        <f t="shared" si="4"/>
        <v>8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3">
      <c r="C53" s="38" t="s">
        <v>167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3">
      <c r="C54" s="38" t="s">
        <v>55</v>
      </c>
      <c r="D54" s="127">
        <v>2</v>
      </c>
      <c r="E54" s="126"/>
      <c r="F54" s="127">
        <v>2</v>
      </c>
      <c r="G54" s="127">
        <v>11</v>
      </c>
      <c r="H54" s="127">
        <v>8</v>
      </c>
      <c r="I54" s="127">
        <v>3</v>
      </c>
      <c r="J54" s="127"/>
      <c r="K54" s="127">
        <v>30</v>
      </c>
      <c r="L54" s="127">
        <v>6</v>
      </c>
      <c r="M54" s="127">
        <f t="shared" si="4"/>
        <v>62</v>
      </c>
    </row>
    <row r="55" spans="2:14" x14ac:dyDescent="0.3">
      <c r="C55" s="38" t="s">
        <v>56</v>
      </c>
      <c r="D55" s="126"/>
      <c r="E55" s="126">
        <v>2</v>
      </c>
      <c r="F55" s="126">
        <v>1</v>
      </c>
      <c r="G55" s="127">
        <v>4</v>
      </c>
      <c r="H55" s="126">
        <v>1</v>
      </c>
      <c r="I55" s="127"/>
      <c r="J55" s="127"/>
      <c r="K55" s="127">
        <v>6</v>
      </c>
      <c r="L55" s="127">
        <v>4</v>
      </c>
      <c r="M55" s="127">
        <f t="shared" si="4"/>
        <v>18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3">
      <c r="C57" s="214" t="s">
        <v>58</v>
      </c>
      <c r="D57" s="126"/>
      <c r="E57" s="126">
        <v>3</v>
      </c>
      <c r="F57" s="126"/>
      <c r="G57" s="127"/>
      <c r="H57" s="126"/>
      <c r="I57" s="127"/>
      <c r="J57" s="126"/>
      <c r="K57" s="126"/>
      <c r="L57" s="127"/>
      <c r="M57" s="127">
        <f t="shared" si="4"/>
        <v>3</v>
      </c>
    </row>
    <row r="58" spans="2:14" ht="15" thickBot="1" x14ac:dyDescent="0.35">
      <c r="C58" s="215" t="s">
        <v>59</v>
      </c>
      <c r="D58" s="145"/>
      <c r="E58" s="128"/>
      <c r="F58" s="128"/>
      <c r="G58" s="128"/>
      <c r="H58" s="128">
        <v>2</v>
      </c>
      <c r="I58" s="128"/>
      <c r="J58" s="128"/>
      <c r="K58" s="128">
        <v>10</v>
      </c>
      <c r="L58" s="128"/>
      <c r="M58" s="144">
        <f t="shared" si="4"/>
        <v>12</v>
      </c>
    </row>
    <row r="59" spans="2:14" ht="15" thickTop="1" x14ac:dyDescent="0.3">
      <c r="C59" s="36" t="s">
        <v>29</v>
      </c>
      <c r="D59" s="143">
        <f t="shared" ref="D59:M59" si="5">SUM(D31:D58)</f>
        <v>30</v>
      </c>
      <c r="E59" s="143">
        <f>SUM(E31:E58)</f>
        <v>18</v>
      </c>
      <c r="F59" s="143">
        <f t="shared" si="5"/>
        <v>45</v>
      </c>
      <c r="G59" s="143">
        <f t="shared" si="5"/>
        <v>65</v>
      </c>
      <c r="H59" s="143">
        <f t="shared" si="5"/>
        <v>62</v>
      </c>
      <c r="I59" s="143">
        <f t="shared" si="5"/>
        <v>10</v>
      </c>
      <c r="J59" s="143">
        <f t="shared" si="5"/>
        <v>15</v>
      </c>
      <c r="K59" s="143">
        <f t="shared" si="5"/>
        <v>136</v>
      </c>
      <c r="L59" s="143">
        <f t="shared" si="5"/>
        <v>50</v>
      </c>
      <c r="M59" s="143">
        <f t="shared" si="5"/>
        <v>431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3384</v>
      </c>
      <c r="E64" s="125">
        <v>79</v>
      </c>
      <c r="F64" s="125">
        <v>12308</v>
      </c>
      <c r="G64" s="125">
        <v>11924</v>
      </c>
      <c r="H64" s="125">
        <v>9063</v>
      </c>
      <c r="I64" s="125">
        <v>103</v>
      </c>
      <c r="J64" s="125">
        <v>57</v>
      </c>
      <c r="K64" s="125">
        <v>11341</v>
      </c>
      <c r="L64" s="125">
        <v>1829</v>
      </c>
      <c r="M64" s="21">
        <f>SUM(D64:L64)</f>
        <v>50088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98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21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223" t="s">
        <v>72</v>
      </c>
      <c r="M68" s="187" t="s">
        <v>144</v>
      </c>
      <c r="N68" s="16"/>
    </row>
    <row r="69" spans="2:14" x14ac:dyDescent="0.3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211">
        <v>43985</v>
      </c>
      <c r="D70" s="129">
        <f>50+39+21+20</f>
        <v>130</v>
      </c>
      <c r="E70" s="129">
        <v>969</v>
      </c>
      <c r="F70" s="135">
        <f>35+13+8+75+5+30+67+1</f>
        <v>234</v>
      </c>
      <c r="G70" s="135">
        <f>43+3+18+4+5+1+4+5+2+22+16+11+4+64+3+4+2+9+3+11+2+6+19+15+4+8+15+10+6+1+6+2+10+6+8+3+16+5+1+1+2+3</f>
        <v>383</v>
      </c>
      <c r="H70" s="129">
        <v>52</v>
      </c>
      <c r="I70" s="212">
        <f>21+185+4539</f>
        <v>4745</v>
      </c>
      <c r="J70" s="135">
        <v>13</v>
      </c>
      <c r="K70" s="129">
        <v>17</v>
      </c>
      <c r="L70" s="135">
        <v>238</v>
      </c>
      <c r="M70" s="129">
        <f>N72+N73</f>
        <v>5420</v>
      </c>
      <c r="N70" s="130">
        <f>SUM(C70:M70)</f>
        <v>56186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5241</v>
      </c>
    </row>
    <row r="73" spans="2:14" x14ac:dyDescent="0.3">
      <c r="B73" s="10"/>
      <c r="C73" s="6" t="s">
        <v>264</v>
      </c>
      <c r="D73" s="7"/>
      <c r="E73" s="8">
        <v>180</v>
      </c>
      <c r="F73" s="10"/>
      <c r="G73" s="10"/>
      <c r="H73" s="12"/>
      <c r="I73" s="10"/>
      <c r="K73" s="10"/>
      <c r="L73" s="10" t="s">
        <v>147</v>
      </c>
      <c r="M73" s="10"/>
      <c r="N73">
        <v>179</v>
      </c>
    </row>
    <row r="74" spans="2:14" x14ac:dyDescent="0.3">
      <c r="C74" s="42" t="s">
        <v>79</v>
      </c>
      <c r="D74" s="43"/>
      <c r="E74" s="31">
        <v>215</v>
      </c>
      <c r="I74" s="10"/>
      <c r="K74" s="10"/>
      <c r="L74" s="10"/>
      <c r="M74" s="10"/>
    </row>
    <row r="75" spans="2:14" x14ac:dyDescent="0.3">
      <c r="C75" s="44" t="s">
        <v>82</v>
      </c>
      <c r="D75" s="47"/>
      <c r="E75" s="16">
        <v>482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205" t="s">
        <v>117</v>
      </c>
      <c r="D77" s="49"/>
      <c r="E77" s="10"/>
      <c r="I77" s="10"/>
    </row>
    <row r="78" spans="2:14" x14ac:dyDescent="0.3">
      <c r="C78" s="51" t="s">
        <v>118</v>
      </c>
      <c r="D78" s="166">
        <v>349</v>
      </c>
      <c r="E78" s="10"/>
      <c r="I78" s="10"/>
    </row>
    <row r="79" spans="2:14" x14ac:dyDescent="0.3">
      <c r="C79" s="53" t="s">
        <v>108</v>
      </c>
      <c r="D79" s="56">
        <v>777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206" t="s">
        <v>77</v>
      </c>
      <c r="D81" s="105"/>
      <c r="E81" s="8">
        <v>1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2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0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203" t="s">
        <v>179</v>
      </c>
      <c r="D89" s="126">
        <v>82</v>
      </c>
      <c r="E89" s="126">
        <v>3</v>
      </c>
      <c r="F89" s="126">
        <v>173</v>
      </c>
      <c r="G89" s="167">
        <v>477</v>
      </c>
      <c r="H89" s="167">
        <v>125</v>
      </c>
      <c r="I89" s="167">
        <v>0</v>
      </c>
      <c r="J89" s="167">
        <v>0</v>
      </c>
      <c r="K89" s="167">
        <v>245</v>
      </c>
      <c r="L89" s="167">
        <v>29</v>
      </c>
      <c r="M89" s="168" t="s">
        <v>126</v>
      </c>
      <c r="N89" s="119">
        <f>SUM(D89:M89)</f>
        <v>1134</v>
      </c>
    </row>
    <row r="90" spans="2:14" x14ac:dyDescent="0.3">
      <c r="B90" s="9"/>
      <c r="C90" s="12" t="s">
        <v>13</v>
      </c>
      <c r="D90" s="126">
        <v>16</v>
      </c>
      <c r="E90" s="126">
        <v>1</v>
      </c>
      <c r="F90" s="126">
        <v>13</v>
      </c>
      <c r="G90" s="167">
        <v>66</v>
      </c>
      <c r="H90" s="167">
        <v>15</v>
      </c>
      <c r="I90" s="167">
        <v>0</v>
      </c>
      <c r="J90" s="167">
        <v>0</v>
      </c>
      <c r="K90" s="167">
        <v>47</v>
      </c>
      <c r="L90" s="167">
        <v>7</v>
      </c>
      <c r="M90" s="167">
        <v>19</v>
      </c>
      <c r="N90" s="119">
        <f>SUM(D90:M90)</f>
        <v>184</v>
      </c>
    </row>
    <row r="91" spans="2:14" ht="15" thickBot="1" x14ac:dyDescent="0.35">
      <c r="B91" s="9"/>
      <c r="C91" s="12" t="s">
        <v>14</v>
      </c>
      <c r="D91" s="128">
        <v>4</v>
      </c>
      <c r="E91" s="128">
        <v>0</v>
      </c>
      <c r="F91" s="128">
        <v>35</v>
      </c>
      <c r="G91" s="128">
        <v>29</v>
      </c>
      <c r="H91" s="128">
        <v>37</v>
      </c>
      <c r="I91" s="128">
        <v>0</v>
      </c>
      <c r="J91" s="128">
        <v>0</v>
      </c>
      <c r="K91" s="128">
        <v>50</v>
      </c>
      <c r="L91" s="128">
        <v>3</v>
      </c>
      <c r="M91" s="169" t="s">
        <v>126</v>
      </c>
      <c r="N91" s="120">
        <f>SUM(D91:L91)</f>
        <v>158</v>
      </c>
    </row>
    <row r="92" spans="2:14" ht="15" thickTop="1" x14ac:dyDescent="0.3">
      <c r="B92" s="13"/>
      <c r="C92" s="14" t="s">
        <v>12</v>
      </c>
      <c r="D92" s="143">
        <f>SUM(D89:D91)</f>
        <v>102</v>
      </c>
      <c r="E92" s="143">
        <f t="shared" ref="E92:M92" si="6">SUM(E89,E91)</f>
        <v>3</v>
      </c>
      <c r="F92" s="143">
        <f t="shared" si="6"/>
        <v>208</v>
      </c>
      <c r="G92" s="143">
        <f t="shared" si="6"/>
        <v>506</v>
      </c>
      <c r="H92" s="143">
        <f t="shared" si="6"/>
        <v>162</v>
      </c>
      <c r="I92" s="143">
        <f t="shared" si="6"/>
        <v>0</v>
      </c>
      <c r="J92" s="143">
        <f t="shared" si="6"/>
        <v>0</v>
      </c>
      <c r="K92" s="143">
        <f t="shared" si="6"/>
        <v>295</v>
      </c>
      <c r="L92" s="143">
        <f t="shared" si="6"/>
        <v>32</v>
      </c>
      <c r="M92" s="143">
        <f t="shared" si="6"/>
        <v>0</v>
      </c>
      <c r="N92" s="170">
        <f>SUM(N89,N91)</f>
        <v>1292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5</v>
      </c>
      <c r="E95" s="126">
        <v>3</v>
      </c>
      <c r="F95" s="126">
        <v>4</v>
      </c>
      <c r="G95" s="150">
        <v>24</v>
      </c>
      <c r="H95" s="150">
        <v>6</v>
      </c>
      <c r="I95" s="150">
        <v>0</v>
      </c>
      <c r="J95" s="150">
        <v>0</v>
      </c>
      <c r="K95" s="150">
        <v>41</v>
      </c>
      <c r="L95" s="150">
        <v>2</v>
      </c>
      <c r="M95" s="150">
        <f>SUM(D95:L95)</f>
        <v>85</v>
      </c>
      <c r="N95" s="10"/>
    </row>
    <row r="96" spans="2:14" ht="15" thickBot="1" x14ac:dyDescent="0.35">
      <c r="B96" s="417" t="s">
        <v>177</v>
      </c>
      <c r="C96" s="418"/>
      <c r="D96" s="128">
        <v>0</v>
      </c>
      <c r="E96" s="128">
        <v>0</v>
      </c>
      <c r="F96" s="128">
        <v>0</v>
      </c>
      <c r="G96" s="174">
        <v>45</v>
      </c>
      <c r="H96" s="174">
        <v>4</v>
      </c>
      <c r="I96" s="174">
        <v>12</v>
      </c>
      <c r="J96" s="174">
        <v>0</v>
      </c>
      <c r="K96" s="174">
        <v>57</v>
      </c>
      <c r="L96" s="174"/>
      <c r="M96" s="150">
        <f t="shared" ref="M96:M97" si="7">SUM(D96:L96)</f>
        <v>118</v>
      </c>
      <c r="N96" s="10"/>
    </row>
    <row r="97" spans="1:15" ht="15" thickTop="1" x14ac:dyDescent="0.3">
      <c r="B97" s="28"/>
      <c r="C97" s="190" t="s">
        <v>29</v>
      </c>
      <c r="D97" s="171">
        <f t="shared" ref="D97:L97" si="8">SUM(D95:D96)</f>
        <v>5</v>
      </c>
      <c r="E97" s="171">
        <f t="shared" si="8"/>
        <v>3</v>
      </c>
      <c r="F97" s="171">
        <f t="shared" si="8"/>
        <v>4</v>
      </c>
      <c r="G97" s="171">
        <f t="shared" si="8"/>
        <v>69</v>
      </c>
      <c r="H97" s="171">
        <f t="shared" si="8"/>
        <v>10</v>
      </c>
      <c r="I97" s="172">
        <f t="shared" si="8"/>
        <v>12</v>
      </c>
      <c r="J97" s="171">
        <f t="shared" si="8"/>
        <v>0</v>
      </c>
      <c r="K97" s="171">
        <f t="shared" si="8"/>
        <v>98</v>
      </c>
      <c r="L97" s="171">
        <f t="shared" si="8"/>
        <v>2</v>
      </c>
      <c r="M97" s="150">
        <f t="shared" si="7"/>
        <v>203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43">
        <v>0</v>
      </c>
      <c r="E99" s="143">
        <v>0</v>
      </c>
      <c r="F99" s="143">
        <v>2</v>
      </c>
      <c r="G99" s="151">
        <v>13</v>
      </c>
      <c r="H99" s="151">
        <v>2</v>
      </c>
      <c r="I99" s="151">
        <v>0</v>
      </c>
      <c r="J99" s="151">
        <v>0</v>
      </c>
      <c r="K99" s="151">
        <v>47</v>
      </c>
      <c r="L99" s="151">
        <v>0</v>
      </c>
      <c r="M99" s="151">
        <f>SUM(D99:L99)</f>
        <v>64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419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420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421"/>
      <c r="N103" s="176" t="s">
        <v>12</v>
      </c>
    </row>
    <row r="104" spans="1:15" x14ac:dyDescent="0.3">
      <c r="B104" s="374" t="s">
        <v>23</v>
      </c>
      <c r="C104" s="375"/>
      <c r="D104" s="131">
        <v>84</v>
      </c>
      <c r="E104" s="131">
        <v>0</v>
      </c>
      <c r="F104" s="131">
        <v>30</v>
      </c>
      <c r="G104" s="131">
        <v>268.7</v>
      </c>
      <c r="H104" s="131">
        <v>4.75</v>
      </c>
      <c r="I104" s="131">
        <v>0</v>
      </c>
      <c r="J104" s="131">
        <v>0</v>
      </c>
      <c r="K104" s="131">
        <v>9.85</v>
      </c>
      <c r="L104" s="131">
        <v>0</v>
      </c>
      <c r="M104" s="132">
        <v>16</v>
      </c>
      <c r="N104" s="133">
        <f>SUM(D104:M104)</f>
        <v>413.3</v>
      </c>
    </row>
    <row r="105" spans="1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205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30">
        <v>779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30">
        <v>151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30">
        <v>14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30">
        <v>2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6">
        <v>0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22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26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0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362+112</f>
        <v>474</v>
      </c>
    </row>
    <row r="120" spans="2:14" x14ac:dyDescent="0.3">
      <c r="C120" s="9" t="s">
        <v>20</v>
      </c>
      <c r="D120" s="10"/>
      <c r="E120" s="137">
        <v>213</v>
      </c>
    </row>
    <row r="121" spans="2:14" x14ac:dyDescent="0.3">
      <c r="C121" s="9" t="s">
        <v>19</v>
      </c>
      <c r="D121" s="10"/>
      <c r="E121" s="137">
        <f>29+7</f>
        <v>36</v>
      </c>
    </row>
    <row r="122" spans="2:14" x14ac:dyDescent="0.3">
      <c r="C122" s="9" t="s">
        <v>93</v>
      </c>
      <c r="D122" s="10"/>
      <c r="E122" s="137">
        <f>390+14</f>
        <v>404</v>
      </c>
    </row>
    <row r="123" spans="2:14" x14ac:dyDescent="0.3">
      <c r="C123" s="13" t="s">
        <v>96</v>
      </c>
      <c r="D123" s="15"/>
      <c r="E123" s="138">
        <v>5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v>2</v>
      </c>
    </row>
    <row r="127" spans="2:14" x14ac:dyDescent="0.3">
      <c r="C127" s="51" t="s">
        <v>88</v>
      </c>
      <c r="D127" s="10"/>
      <c r="E127" s="137">
        <v>0</v>
      </c>
    </row>
    <row r="128" spans="2:14" x14ac:dyDescent="0.3">
      <c r="C128" s="51" t="s">
        <v>90</v>
      </c>
      <c r="D128" s="10"/>
      <c r="E128" s="137">
        <v>76</v>
      </c>
    </row>
    <row r="129" spans="3:15" x14ac:dyDescent="0.3">
      <c r="C129" s="51" t="s">
        <v>92</v>
      </c>
      <c r="D129" s="12"/>
      <c r="E129" s="137">
        <f>732+71+8</f>
        <v>811</v>
      </c>
    </row>
    <row r="130" spans="3:15" x14ac:dyDescent="0.3">
      <c r="C130" s="51" t="s">
        <v>95</v>
      </c>
      <c r="D130" s="12"/>
      <c r="E130" s="137">
        <f>38+1+42+1+3</f>
        <v>85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v>12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v>30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218" t="s">
        <v>100</v>
      </c>
      <c r="D133" s="10"/>
      <c r="E133" s="137">
        <v>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>
        <v>4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>
        <v>0</v>
      </c>
    </row>
    <row r="137" spans="3:15" x14ac:dyDescent="0.3">
      <c r="C137" s="50" t="s">
        <v>25</v>
      </c>
      <c r="D137" s="10"/>
      <c r="E137" s="139">
        <v>9</v>
      </c>
    </row>
    <row r="138" spans="3:15" x14ac:dyDescent="0.3">
      <c r="C138" s="50" t="s">
        <v>149</v>
      </c>
      <c r="D138" s="10"/>
      <c r="E138" s="139">
        <v>0</v>
      </c>
    </row>
    <row r="139" spans="3:15" x14ac:dyDescent="0.3">
      <c r="C139" s="52" t="s">
        <v>26</v>
      </c>
      <c r="D139" s="15"/>
      <c r="E139" s="138">
        <f>294+104+132</f>
        <v>530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208" t="s">
        <v>120</v>
      </c>
      <c r="F143" s="209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5</v>
      </c>
      <c r="F144" s="126">
        <v>0</v>
      </c>
      <c r="G144" s="157">
        <f>E144+F144</f>
        <v>5</v>
      </c>
    </row>
    <row r="145" spans="2:14" x14ac:dyDescent="0.3">
      <c r="C145" s="199" t="s">
        <v>13</v>
      </c>
      <c r="D145" s="163"/>
      <c r="E145" s="126">
        <v>1</v>
      </c>
      <c r="F145" s="126" t="s">
        <v>126</v>
      </c>
      <c r="G145" s="157">
        <f>SUM(E145:F145)</f>
        <v>1</v>
      </c>
    </row>
    <row r="146" spans="2:14" x14ac:dyDescent="0.3">
      <c r="C146" s="199" t="s">
        <v>122</v>
      </c>
      <c r="D146" s="163"/>
      <c r="E146" s="126">
        <v>1</v>
      </c>
      <c r="F146" s="126">
        <v>0</v>
      </c>
      <c r="G146" s="157">
        <f t="shared" ref="G146:G147" si="9">E146+F146</f>
        <v>1</v>
      </c>
    </row>
    <row r="147" spans="2:14" x14ac:dyDescent="0.3">
      <c r="C147" s="158" t="s">
        <v>124</v>
      </c>
      <c r="D147" s="162"/>
      <c r="E147" s="127">
        <v>29</v>
      </c>
      <c r="F147" s="127">
        <v>1</v>
      </c>
      <c r="G147" s="157">
        <f t="shared" si="9"/>
        <v>30</v>
      </c>
      <c r="L147" s="10"/>
      <c r="M147" s="29"/>
    </row>
    <row r="148" spans="2:14" x14ac:dyDescent="0.3">
      <c r="C148" s="159" t="s">
        <v>13</v>
      </c>
      <c r="D148" s="158"/>
      <c r="E148" s="127">
        <v>0</v>
      </c>
      <c r="F148" s="127" t="s">
        <v>126</v>
      </c>
      <c r="G148" s="157">
        <f>E148</f>
        <v>0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42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213" t="s">
        <v>153</v>
      </c>
    </row>
    <row r="152" spans="2:14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9.25" customHeight="1" x14ac:dyDescent="0.3">
      <c r="B153" s="399"/>
      <c r="C153" s="400"/>
      <c r="D153" s="385"/>
      <c r="E153" s="386"/>
      <c r="F153" s="106"/>
    </row>
    <row r="154" spans="2:14" ht="23.25" customHeight="1" x14ac:dyDescent="0.3">
      <c r="B154" s="372" t="s">
        <v>169</v>
      </c>
      <c r="C154" s="373"/>
      <c r="D154" s="370">
        <v>330</v>
      </c>
      <c r="E154" s="371"/>
      <c r="F154" s="107"/>
    </row>
    <row r="155" spans="2:14" ht="29.25" customHeight="1" x14ac:dyDescent="0.3">
      <c r="B155" s="372" t="s">
        <v>183</v>
      </c>
      <c r="C155" s="373"/>
      <c r="D155" s="370">
        <v>1117</v>
      </c>
      <c r="E155" s="371"/>
      <c r="F155" s="107"/>
    </row>
    <row r="156" spans="2:14" x14ac:dyDescent="0.3">
      <c r="B156" s="372" t="s">
        <v>154</v>
      </c>
      <c r="C156" s="373"/>
      <c r="D156" s="370">
        <v>3392</v>
      </c>
      <c r="E156" s="371"/>
      <c r="F156" s="107"/>
    </row>
    <row r="157" spans="2:14" x14ac:dyDescent="0.3">
      <c r="B157" s="372" t="s">
        <v>184</v>
      </c>
      <c r="C157" s="373"/>
      <c r="D157" s="370">
        <v>167</v>
      </c>
      <c r="E157" s="371"/>
      <c r="F157" s="107"/>
    </row>
    <row r="158" spans="2:14" x14ac:dyDescent="0.3">
      <c r="B158" s="372" t="s">
        <v>156</v>
      </c>
      <c r="C158" s="373"/>
      <c r="D158" s="370">
        <v>3859</v>
      </c>
      <c r="E158" s="371"/>
      <c r="F158" s="107"/>
    </row>
    <row r="159" spans="2:14" x14ac:dyDescent="0.3">
      <c r="B159" s="372" t="s">
        <v>123</v>
      </c>
      <c r="C159" s="373"/>
      <c r="D159" s="370">
        <v>154</v>
      </c>
      <c r="E159" s="371"/>
      <c r="F159" s="107"/>
    </row>
    <row r="160" spans="2:14" x14ac:dyDescent="0.3">
      <c r="B160" s="372" t="s">
        <v>125</v>
      </c>
      <c r="C160" s="373"/>
      <c r="D160" s="370">
        <v>97</v>
      </c>
      <c r="E160" s="371"/>
      <c r="F160" s="107"/>
    </row>
    <row r="161" spans="2:15" x14ac:dyDescent="0.3">
      <c r="B161" s="372" t="s">
        <v>110</v>
      </c>
      <c r="C161" s="373"/>
      <c r="D161" s="370">
        <v>36</v>
      </c>
      <c r="E161" s="371"/>
      <c r="F161" s="107">
        <v>21</v>
      </c>
    </row>
    <row r="162" spans="2:15" x14ac:dyDescent="0.3">
      <c r="B162" s="372" t="s">
        <v>157</v>
      </c>
      <c r="C162" s="373"/>
      <c r="D162" s="370">
        <v>351</v>
      </c>
      <c r="E162" s="371"/>
      <c r="F162" s="107"/>
    </row>
    <row r="163" spans="2:15" ht="26.25" customHeight="1" x14ac:dyDescent="0.3">
      <c r="B163" s="372" t="s">
        <v>128</v>
      </c>
      <c r="C163" s="373"/>
      <c r="D163" s="370">
        <v>97</v>
      </c>
      <c r="E163" s="371"/>
      <c r="F163" s="107"/>
    </row>
    <row r="164" spans="2:15" ht="43.5" customHeight="1" x14ac:dyDescent="0.3">
      <c r="B164" s="395" t="s">
        <v>158</v>
      </c>
      <c r="C164" s="396"/>
      <c r="D164" s="353">
        <v>52</v>
      </c>
      <c r="E164" s="354"/>
      <c r="F164" s="108"/>
    </row>
    <row r="165" spans="2:15" ht="39.75" customHeight="1" x14ac:dyDescent="0.3">
      <c r="B165" s="395" t="s">
        <v>159</v>
      </c>
      <c r="C165" s="396"/>
      <c r="D165" s="353">
        <v>609</v>
      </c>
      <c r="E165" s="354"/>
      <c r="F165" s="108"/>
    </row>
    <row r="166" spans="2:15" ht="25.5" customHeight="1" x14ac:dyDescent="0.3">
      <c r="B166" s="397" t="s">
        <v>160</v>
      </c>
      <c r="C166" s="398"/>
      <c r="D166" s="355">
        <v>269</v>
      </c>
      <c r="E166" s="356"/>
      <c r="F166" s="109"/>
    </row>
    <row r="167" spans="2:15" ht="27" customHeight="1" x14ac:dyDescent="0.3">
      <c r="B167" s="387" t="s">
        <v>161</v>
      </c>
      <c r="C167" s="388"/>
      <c r="D167" s="357">
        <v>222</v>
      </c>
      <c r="E167" s="358"/>
      <c r="F167" s="110"/>
    </row>
    <row r="168" spans="2:15" ht="27.75" customHeight="1" x14ac:dyDescent="0.3">
      <c r="B168" s="387" t="s">
        <v>162</v>
      </c>
      <c r="C168" s="388"/>
      <c r="D168" s="357">
        <v>227</v>
      </c>
      <c r="E168" s="358"/>
      <c r="F168" s="110"/>
    </row>
    <row r="169" spans="2:15" ht="26.25" customHeight="1" x14ac:dyDescent="0.3">
      <c r="B169" s="389" t="s">
        <v>163</v>
      </c>
      <c r="C169" s="390"/>
      <c r="D169" s="359">
        <v>1569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60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300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84</v>
      </c>
    </row>
    <row r="174" spans="2:15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5" ht="15" thickTop="1" x14ac:dyDescent="0.3">
      <c r="B175" s="204" t="s">
        <v>166</v>
      </c>
      <c r="C175" s="165"/>
      <c r="D175" s="343">
        <f>SUM(D153:D174)</f>
        <v>12908</v>
      </c>
      <c r="E175" s="344"/>
      <c r="F175" s="184">
        <f>SUM(F153:F174)</f>
        <v>105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205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50">
        <f>D161</f>
        <v>36</v>
      </c>
      <c r="F178" s="414">
        <f>F161</f>
        <v>21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50">
        <f>D158</f>
        <v>3859</v>
      </c>
      <c r="F181" s="126">
        <v>0</v>
      </c>
      <c r="I181" s="29"/>
      <c r="J181" s="29"/>
      <c r="K181" s="54"/>
      <c r="L181" s="54"/>
      <c r="M181" s="58"/>
    </row>
    <row r="182" spans="2:14" x14ac:dyDescent="0.3">
      <c r="C182" s="415" t="s">
        <v>114</v>
      </c>
      <c r="D182" s="416"/>
      <c r="E182" s="150">
        <f>D156</f>
        <v>3392</v>
      </c>
      <c r="F182" s="126">
        <v>0</v>
      </c>
      <c r="K182" s="54"/>
      <c r="L182" s="54"/>
      <c r="M182" s="58"/>
    </row>
    <row r="183" spans="2:14" x14ac:dyDescent="0.3">
      <c r="C183" s="345" t="s">
        <v>115</v>
      </c>
      <c r="D183" s="346"/>
      <c r="E183" s="323">
        <f>D172</f>
        <v>300</v>
      </c>
      <c r="F183" s="142">
        <v>0</v>
      </c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22</v>
      </c>
      <c r="E187" s="143">
        <v>16</v>
      </c>
      <c r="F187" s="143">
        <v>305</v>
      </c>
      <c r="G187" s="177">
        <f>183+14</f>
        <v>197</v>
      </c>
      <c r="H187" s="177">
        <v>143</v>
      </c>
      <c r="I187" s="177">
        <v>0</v>
      </c>
      <c r="J187" s="177">
        <v>33</v>
      </c>
      <c r="K187" s="177">
        <v>143</v>
      </c>
      <c r="L187" s="177">
        <v>182</v>
      </c>
      <c r="M187" s="177">
        <f>SUM(D187:L187)</f>
        <v>1041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14</v>
      </c>
      <c r="H188" s="126" t="s">
        <v>126</v>
      </c>
      <c r="I188" s="126" t="s">
        <v>126</v>
      </c>
      <c r="J188" s="126" t="s">
        <v>126</v>
      </c>
      <c r="K188" s="126">
        <v>139</v>
      </c>
      <c r="L188" s="126">
        <v>267</v>
      </c>
      <c r="M188" s="127">
        <f>SUM(D188:L188)</f>
        <v>420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0</v>
      </c>
      <c r="G189" s="128">
        <v>2</v>
      </c>
      <c r="H189" s="144">
        <v>0</v>
      </c>
      <c r="I189" s="144">
        <v>0</v>
      </c>
      <c r="J189" s="128" t="s">
        <v>126</v>
      </c>
      <c r="K189" s="128">
        <v>0</v>
      </c>
      <c r="L189" s="144">
        <v>2</v>
      </c>
      <c r="M189" s="144">
        <f>SUM(D189:L189)</f>
        <v>4</v>
      </c>
    </row>
    <row r="190" spans="2:14" ht="15" thickTop="1" x14ac:dyDescent="0.3">
      <c r="C190" s="38" t="s">
        <v>12</v>
      </c>
      <c r="D190" s="143">
        <f>SUM(D187:D189)</f>
        <v>22</v>
      </c>
      <c r="E190" s="143">
        <f>SUM(E187:E189)</f>
        <v>16</v>
      </c>
      <c r="F190" s="143">
        <f t="shared" ref="F190:L190" si="10">SUM(F187:F189)</f>
        <v>305</v>
      </c>
      <c r="G190" s="143">
        <f t="shared" si="10"/>
        <v>213</v>
      </c>
      <c r="H190" s="177">
        <f t="shared" si="10"/>
        <v>143</v>
      </c>
      <c r="I190" s="143">
        <f t="shared" si="10"/>
        <v>0</v>
      </c>
      <c r="J190" s="143">
        <f t="shared" si="10"/>
        <v>33</v>
      </c>
      <c r="K190" s="143">
        <f t="shared" si="10"/>
        <v>282</v>
      </c>
      <c r="L190" s="177">
        <f t="shared" si="10"/>
        <v>451</v>
      </c>
      <c r="M190" s="177">
        <f>SUM(D190:L190)</f>
        <v>1465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s="68" t="s">
        <v>363</v>
      </c>
      <c r="D196" s="22"/>
      <c r="E196" s="22"/>
      <c r="F196" s="22"/>
      <c r="G196" s="69"/>
      <c r="H196" s="70" t="s">
        <v>368</v>
      </c>
      <c r="I196" s="71"/>
      <c r="J196" s="72"/>
      <c r="K196" s="73"/>
      <c r="L196" s="74"/>
      <c r="M196" s="74"/>
      <c r="N196" s="75"/>
    </row>
    <row r="197" spans="2:14" ht="17.399999999999999" x14ac:dyDescent="0.3">
      <c r="B197" s="68"/>
      <c r="D197" s="22"/>
      <c r="E197" s="22"/>
      <c r="F197" s="22"/>
      <c r="G197" s="69"/>
      <c r="H197" s="70"/>
      <c r="I197" s="71"/>
      <c r="J197" s="72"/>
      <c r="K197" s="73"/>
      <c r="L197" s="74"/>
      <c r="M197" s="74"/>
      <c r="N197" s="75"/>
    </row>
    <row r="198" spans="2:14" ht="17.399999999999999" x14ac:dyDescent="0.3">
      <c r="B198" s="78" t="s">
        <v>136</v>
      </c>
      <c r="D198" s="22"/>
      <c r="E198" s="22"/>
      <c r="F198" s="22"/>
      <c r="G198" s="69"/>
      <c r="H198" s="79" t="s">
        <v>168</v>
      </c>
      <c r="I198" s="71"/>
      <c r="J198" s="72"/>
      <c r="K198" s="73"/>
      <c r="L198" s="74"/>
      <c r="M198" s="74"/>
      <c r="N198" s="75"/>
    </row>
    <row r="199" spans="2:14" x14ac:dyDescent="0.3">
      <c r="B199" s="81" t="s">
        <v>376</v>
      </c>
      <c r="C199" s="22"/>
      <c r="D199" s="22"/>
      <c r="E199" s="22"/>
      <c r="F199" s="82"/>
      <c r="G199" s="22"/>
      <c r="H199" s="85" t="s">
        <v>365</v>
      </c>
      <c r="I199" s="10"/>
      <c r="J199" s="22"/>
      <c r="K199" s="72"/>
      <c r="L199" s="10"/>
      <c r="M199" s="10"/>
      <c r="N199" s="30"/>
    </row>
    <row r="200" spans="2:14" x14ac:dyDescent="0.3">
      <c r="B200" s="197" t="s">
        <v>374</v>
      </c>
      <c r="C200" s="22"/>
      <c r="D200" s="22"/>
      <c r="E200" s="22"/>
      <c r="F200" s="22"/>
      <c r="G200" s="72"/>
      <c r="H200" s="85"/>
      <c r="I200" s="72"/>
      <c r="J200" s="72"/>
      <c r="K200" s="72"/>
      <c r="L200" s="76"/>
      <c r="M200" s="76"/>
      <c r="N200" s="77"/>
    </row>
    <row r="201" spans="2:14" x14ac:dyDescent="0.3">
      <c r="B201" s="80" t="s">
        <v>371</v>
      </c>
      <c r="C201" s="22"/>
      <c r="D201" s="22"/>
      <c r="E201" s="22"/>
      <c r="F201" s="22"/>
      <c r="G201" s="69"/>
      <c r="I201" s="72"/>
      <c r="J201" s="72"/>
      <c r="K201" s="72"/>
      <c r="L201" s="76"/>
      <c r="M201" s="76"/>
      <c r="N201" s="77"/>
    </row>
    <row r="202" spans="2:14" x14ac:dyDescent="0.3">
      <c r="B202" s="80" t="s">
        <v>375</v>
      </c>
      <c r="C202" s="10"/>
      <c r="D202" s="10"/>
      <c r="E202" s="10"/>
      <c r="F202" s="10"/>
      <c r="G202" s="10"/>
      <c r="H202" s="88" t="s">
        <v>138</v>
      </c>
      <c r="I202" s="10"/>
      <c r="J202" s="10"/>
      <c r="K202" s="10"/>
      <c r="L202" s="10"/>
      <c r="M202" s="10"/>
      <c r="N202" s="30"/>
    </row>
    <row r="203" spans="2:14" ht="17.399999999999999" x14ac:dyDescent="0.3">
      <c r="B203" s="80" t="s">
        <v>366</v>
      </c>
      <c r="C203" s="82"/>
      <c r="D203" s="22"/>
      <c r="E203" s="22"/>
      <c r="F203" s="22"/>
      <c r="G203" s="72"/>
      <c r="H203" s="70" t="s">
        <v>377</v>
      </c>
      <c r="I203" s="72"/>
      <c r="J203" s="71"/>
      <c r="K203" s="83"/>
      <c r="L203" s="22"/>
      <c r="M203" s="22"/>
      <c r="N203" s="84"/>
    </row>
    <row r="204" spans="2:14" ht="17.399999999999999" x14ac:dyDescent="0.3">
      <c r="B204" s="80" t="s">
        <v>372</v>
      </c>
      <c r="C204" s="22"/>
      <c r="D204" s="22"/>
      <c r="E204" s="22"/>
      <c r="F204" s="22"/>
      <c r="G204" s="72"/>
      <c r="H204" s="70"/>
      <c r="I204" s="71"/>
      <c r="J204" s="72"/>
      <c r="K204" s="72"/>
      <c r="L204" s="22"/>
      <c r="M204" s="22"/>
      <c r="N204" s="84"/>
    </row>
    <row r="205" spans="2:14" ht="17.399999999999999" x14ac:dyDescent="0.3">
      <c r="B205" s="80"/>
      <c r="C205" s="82"/>
      <c r="D205" s="22"/>
      <c r="E205" s="22"/>
      <c r="F205" s="22"/>
      <c r="G205" s="22"/>
      <c r="H205" s="70"/>
      <c r="I205" s="71"/>
      <c r="J205" s="71"/>
      <c r="K205" s="71"/>
      <c r="L205" s="71"/>
      <c r="M205" s="22"/>
      <c r="N205" s="84"/>
    </row>
    <row r="206" spans="2:14" x14ac:dyDescent="0.3">
      <c r="B206" s="87" t="s">
        <v>137</v>
      </c>
      <c r="C206" s="22"/>
      <c r="D206" s="79"/>
      <c r="E206" s="22"/>
      <c r="F206" s="79"/>
      <c r="G206" s="86"/>
      <c r="H206" s="70"/>
      <c r="I206" s="10"/>
      <c r="J206" s="72"/>
      <c r="K206" s="72"/>
      <c r="L206" s="22"/>
      <c r="M206" s="22"/>
      <c r="N206" s="84"/>
    </row>
    <row r="207" spans="2:14" x14ac:dyDescent="0.3">
      <c r="B207" s="81" t="s">
        <v>364</v>
      </c>
      <c r="C207" s="22"/>
      <c r="D207" s="79"/>
      <c r="E207" s="22"/>
      <c r="F207" s="79"/>
      <c r="G207" s="86"/>
      <c r="H207" s="70"/>
      <c r="I207" s="10"/>
      <c r="J207" s="72"/>
      <c r="K207" s="72"/>
      <c r="L207" s="22"/>
      <c r="M207" s="22"/>
      <c r="N207" s="84"/>
    </row>
    <row r="208" spans="2:14" x14ac:dyDescent="0.3">
      <c r="B208" s="81" t="s">
        <v>370</v>
      </c>
      <c r="C208" s="22"/>
      <c r="D208" s="79"/>
      <c r="E208" s="22"/>
      <c r="F208" s="79"/>
      <c r="G208" s="86"/>
      <c r="I208" s="10"/>
      <c r="J208" s="72"/>
      <c r="K208" s="72"/>
      <c r="L208" s="22"/>
      <c r="M208" s="22"/>
      <c r="N208" s="84"/>
    </row>
    <row r="209" spans="2:14" x14ac:dyDescent="0.3">
      <c r="B209" s="80" t="s">
        <v>367</v>
      </c>
      <c r="C209" s="22"/>
      <c r="D209" s="22"/>
      <c r="E209" s="22"/>
      <c r="F209" s="22"/>
      <c r="G209" s="86"/>
      <c r="I209" s="10"/>
      <c r="J209" s="72"/>
      <c r="K209" s="72"/>
      <c r="L209" s="22"/>
      <c r="M209" s="22"/>
      <c r="N209" s="84"/>
    </row>
    <row r="210" spans="2:14" x14ac:dyDescent="0.3">
      <c r="B210" s="80" t="s">
        <v>369</v>
      </c>
      <c r="C210" s="22"/>
      <c r="D210" s="22"/>
      <c r="E210" s="22"/>
      <c r="F210" s="22"/>
      <c r="G210" s="69"/>
      <c r="I210" s="10"/>
      <c r="J210" s="72"/>
      <c r="L210" s="76"/>
      <c r="M210" s="76"/>
      <c r="N210" s="77"/>
    </row>
    <row r="211" spans="2:14" x14ac:dyDescent="0.3">
      <c r="B211" s="80" t="s">
        <v>378</v>
      </c>
      <c r="C211" s="22"/>
      <c r="D211" s="22"/>
      <c r="E211" s="22"/>
      <c r="F211" s="22"/>
      <c r="G211" s="69"/>
      <c r="I211" s="10"/>
      <c r="J211" s="72"/>
      <c r="K211" s="72"/>
      <c r="L211" s="76"/>
      <c r="M211" s="76"/>
      <c r="N211" s="77"/>
    </row>
    <row r="212" spans="2:14" x14ac:dyDescent="0.3">
      <c r="B212" s="80"/>
      <c r="C212" s="22"/>
      <c r="D212" s="22"/>
      <c r="E212" s="22"/>
      <c r="F212" s="82"/>
      <c r="G212" s="22"/>
      <c r="H212" s="89"/>
      <c r="I212" s="10"/>
      <c r="J212" s="22"/>
      <c r="K212" s="72"/>
      <c r="L212" s="10"/>
      <c r="M212" s="10"/>
      <c r="N212" s="30"/>
    </row>
    <row r="213" spans="2:14" ht="17.399999999999999" x14ac:dyDescent="0.3">
      <c r="B213" s="90"/>
      <c r="C213" s="91"/>
      <c r="D213" s="91"/>
      <c r="E213" s="91"/>
      <c r="F213" s="92"/>
      <c r="G213" s="93"/>
      <c r="H213" s="94"/>
      <c r="I213" s="95"/>
      <c r="J213" s="93"/>
      <c r="K213" s="95"/>
      <c r="L213" s="96"/>
      <c r="M213" s="96"/>
      <c r="N213" s="97"/>
    </row>
    <row r="214" spans="2:14" x14ac:dyDescent="0.3">
      <c r="B214" s="82"/>
      <c r="C214" s="69"/>
      <c r="D214" s="72"/>
      <c r="E214" s="72"/>
      <c r="F214" s="72"/>
      <c r="G214" s="72"/>
      <c r="H214" s="76"/>
      <c r="I214" s="76"/>
      <c r="J214" s="76"/>
      <c r="K214" s="76"/>
      <c r="L214" s="74"/>
      <c r="M214" s="74"/>
      <c r="N214" s="22"/>
    </row>
  </sheetData>
  <mergeCells count="72"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D166:E166"/>
    <mergeCell ref="B161:C161"/>
    <mergeCell ref="D161:E161"/>
    <mergeCell ref="B162:C162"/>
    <mergeCell ref="D162:E162"/>
    <mergeCell ref="B163:C163"/>
    <mergeCell ref="D163:E16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G152:I152"/>
    <mergeCell ref="F178:G178"/>
    <mergeCell ref="C181:D181"/>
    <mergeCell ref="C182:D182"/>
    <mergeCell ref="C183:D183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</mergeCells>
  <pageMargins left="0.7" right="0.7" top="0.75" bottom="0.75" header="0.3" footer="0.3"/>
  <pageSetup scale="65" fitToHeight="0" orientation="portrait" r:id="rId1"/>
  <rowBreaks count="2" manualBreakCount="2">
    <brk id="65" max="16383" man="1"/>
    <brk id="124" max="16383" man="1"/>
  </rowBreaks>
  <ignoredErrors>
    <ignoredError sqref="G14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1"/>
  <sheetViews>
    <sheetView topLeftCell="A70" workbookViewId="0">
      <selection activeCell="F174" sqref="F174"/>
    </sheetView>
  </sheetViews>
  <sheetFormatPr defaultRowHeight="14.4" x14ac:dyDescent="0.3"/>
  <cols>
    <col min="3" max="3" width="11.44140625" customWidth="1"/>
    <col min="8" max="8" width="10" bestFit="1" customWidth="1"/>
    <col min="12" max="12" width="12.6640625" customWidth="1"/>
    <col min="14" max="14" width="9.33203125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>
        <v>43556</v>
      </c>
      <c r="I2" s="2"/>
      <c r="J2" s="2"/>
      <c r="K2" s="5"/>
    </row>
    <row r="4" spans="2:15" x14ac:dyDescent="0.3">
      <c r="B4" s="121" t="s">
        <v>16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204" t="s">
        <v>17</v>
      </c>
      <c r="D6" s="126">
        <v>74</v>
      </c>
      <c r="E6" s="126">
        <v>0</v>
      </c>
      <c r="F6" s="126">
        <v>157</v>
      </c>
      <c r="G6" s="127">
        <v>279</v>
      </c>
      <c r="H6" s="127">
        <v>81</v>
      </c>
      <c r="I6" s="127">
        <v>0</v>
      </c>
      <c r="J6" s="127">
        <v>4</v>
      </c>
      <c r="K6" s="127">
        <v>90</v>
      </c>
      <c r="L6" s="127">
        <v>58</v>
      </c>
      <c r="M6" s="127">
        <f>SUM(D6:L6)</f>
        <v>743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126">
        <v>1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6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12</v>
      </c>
      <c r="H8" s="127">
        <v>19</v>
      </c>
      <c r="I8" s="127">
        <v>1</v>
      </c>
      <c r="J8" s="126">
        <v>0</v>
      </c>
      <c r="K8" s="126">
        <v>26</v>
      </c>
      <c r="L8" s="127">
        <v>0</v>
      </c>
      <c r="M8" s="127">
        <f>SUM(D8:L8)</f>
        <v>78</v>
      </c>
    </row>
    <row r="9" spans="2:15" x14ac:dyDescent="0.3">
      <c r="C9" s="38" t="s">
        <v>20</v>
      </c>
      <c r="D9" s="126">
        <v>6</v>
      </c>
      <c r="E9" s="126">
        <v>5</v>
      </c>
      <c r="F9" s="126">
        <v>22</v>
      </c>
      <c r="G9" s="126">
        <v>56</v>
      </c>
      <c r="H9" s="127">
        <v>22</v>
      </c>
      <c r="I9" s="126">
        <v>1</v>
      </c>
      <c r="J9" s="126">
        <v>2</v>
      </c>
      <c r="K9" s="126">
        <v>24</v>
      </c>
      <c r="L9" s="127">
        <v>5</v>
      </c>
      <c r="M9" s="127">
        <f>SUM(D9:L9)</f>
        <v>143</v>
      </c>
    </row>
    <row r="10" spans="2:15" x14ac:dyDescent="0.3">
      <c r="C10" s="38" t="s">
        <v>21</v>
      </c>
      <c r="D10" s="127">
        <v>124</v>
      </c>
      <c r="E10" s="126">
        <v>59</v>
      </c>
      <c r="F10" s="126">
        <v>263</v>
      </c>
      <c r="G10" s="126">
        <v>280</v>
      </c>
      <c r="H10" s="127">
        <v>153</v>
      </c>
      <c r="I10" s="126">
        <v>13</v>
      </c>
      <c r="J10" s="126">
        <v>9</v>
      </c>
      <c r="K10" s="126">
        <v>502</v>
      </c>
      <c r="L10" s="127">
        <v>153</v>
      </c>
      <c r="M10" s="127">
        <f>SUM(D10:L10)</f>
        <v>1556</v>
      </c>
    </row>
    <row r="11" spans="2:15" x14ac:dyDescent="0.3">
      <c r="C11" s="38" t="s">
        <v>12</v>
      </c>
      <c r="D11" s="127">
        <f t="shared" ref="D11:M11" si="0">SUM(D6:D10)</f>
        <v>206</v>
      </c>
      <c r="E11" s="126">
        <f t="shared" si="0"/>
        <v>66</v>
      </c>
      <c r="F11" s="127">
        <f t="shared" si="0"/>
        <v>460</v>
      </c>
      <c r="G11" s="127">
        <f t="shared" si="0"/>
        <v>628</v>
      </c>
      <c r="H11" s="127">
        <f t="shared" si="0"/>
        <v>276</v>
      </c>
      <c r="I11" s="126">
        <f t="shared" si="0"/>
        <v>15</v>
      </c>
      <c r="J11" s="126">
        <f t="shared" si="0"/>
        <v>15</v>
      </c>
      <c r="K11" s="126">
        <f t="shared" si="0"/>
        <v>642</v>
      </c>
      <c r="L11" s="126">
        <f t="shared" si="0"/>
        <v>218</v>
      </c>
      <c r="M11" s="127">
        <f t="shared" si="0"/>
        <v>2526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220" t="s">
        <v>24</v>
      </c>
      <c r="D16" s="126">
        <v>127</v>
      </c>
      <c r="E16" s="126">
        <v>0</v>
      </c>
      <c r="F16" s="126">
        <v>32</v>
      </c>
      <c r="G16" s="127">
        <v>272</v>
      </c>
      <c r="H16" s="127">
        <v>134</v>
      </c>
      <c r="I16" s="127">
        <v>43</v>
      </c>
      <c r="J16" s="127">
        <v>8</v>
      </c>
      <c r="K16" s="127">
        <v>174</v>
      </c>
      <c r="L16" s="127">
        <v>29</v>
      </c>
      <c r="M16" s="127">
        <f t="shared" ref="M16:M21" si="1">SUM(D16:L16)</f>
        <v>819</v>
      </c>
    </row>
    <row r="17" spans="2:13" x14ac:dyDescent="0.3">
      <c r="C17" s="38" t="s">
        <v>25</v>
      </c>
      <c r="D17" s="126">
        <v>12</v>
      </c>
      <c r="E17" s="126">
        <v>0</v>
      </c>
      <c r="F17" s="127">
        <v>13</v>
      </c>
      <c r="G17" s="126">
        <v>102</v>
      </c>
      <c r="H17" s="126">
        <v>63</v>
      </c>
      <c r="I17" s="126">
        <v>2</v>
      </c>
      <c r="J17" s="126">
        <v>8</v>
      </c>
      <c r="K17" s="126">
        <v>47</v>
      </c>
      <c r="L17" s="126">
        <v>34</v>
      </c>
      <c r="M17" s="127">
        <f t="shared" si="1"/>
        <v>281</v>
      </c>
    </row>
    <row r="18" spans="2:13" x14ac:dyDescent="0.3">
      <c r="C18" s="38" t="s">
        <v>26</v>
      </c>
      <c r="D18" s="126">
        <v>204</v>
      </c>
      <c r="E18" s="126">
        <v>267</v>
      </c>
      <c r="F18" s="126">
        <v>524</v>
      </c>
      <c r="G18" s="126">
        <v>293</v>
      </c>
      <c r="H18" s="127">
        <v>289</v>
      </c>
      <c r="I18" s="127">
        <v>2</v>
      </c>
      <c r="J18" s="126">
        <v>0</v>
      </c>
      <c r="K18" s="126">
        <v>342</v>
      </c>
      <c r="L18" s="127">
        <f>235</f>
        <v>235</v>
      </c>
      <c r="M18" s="127">
        <f t="shared" si="1"/>
        <v>2156</v>
      </c>
    </row>
    <row r="19" spans="2:13" x14ac:dyDescent="0.3">
      <c r="C19" s="38" t="s">
        <v>27</v>
      </c>
      <c r="D19" s="126">
        <f>28+24</f>
        <v>52</v>
      </c>
      <c r="E19" s="126">
        <f>36+46</f>
        <v>82</v>
      </c>
      <c r="F19" s="126">
        <f>32+31</f>
        <v>63</v>
      </c>
      <c r="G19" s="126">
        <f>40+44</f>
        <v>84</v>
      </c>
      <c r="H19" s="127">
        <f>34+53</f>
        <v>87</v>
      </c>
      <c r="I19" s="126">
        <f>16+26</f>
        <v>42</v>
      </c>
      <c r="J19" s="126">
        <f>17+7</f>
        <v>24</v>
      </c>
      <c r="K19" s="126">
        <f>26+61</f>
        <v>87</v>
      </c>
      <c r="L19" s="127">
        <v>61</v>
      </c>
      <c r="M19" s="127">
        <f t="shared" si="1"/>
        <v>582</v>
      </c>
    </row>
    <row r="20" spans="2:13" x14ac:dyDescent="0.3">
      <c r="C20" s="38" t="s">
        <v>28</v>
      </c>
      <c r="D20" s="127">
        <f>D59</f>
        <v>18</v>
      </c>
      <c r="E20" s="127">
        <f t="shared" ref="E20:L20" si="2">E59</f>
        <v>13</v>
      </c>
      <c r="F20" s="127">
        <f t="shared" si="2"/>
        <v>48</v>
      </c>
      <c r="G20" s="127">
        <f t="shared" si="2"/>
        <v>51</v>
      </c>
      <c r="H20" s="127">
        <f t="shared" si="2"/>
        <v>61</v>
      </c>
      <c r="I20" s="127">
        <f t="shared" si="2"/>
        <v>17</v>
      </c>
      <c r="J20" s="127">
        <f t="shared" si="2"/>
        <v>15</v>
      </c>
      <c r="K20" s="127">
        <f t="shared" si="2"/>
        <v>181</v>
      </c>
      <c r="L20" s="127">
        <f t="shared" si="2"/>
        <v>35</v>
      </c>
      <c r="M20" s="127">
        <f t="shared" si="1"/>
        <v>439</v>
      </c>
    </row>
    <row r="21" spans="2:13" x14ac:dyDescent="0.3">
      <c r="C21" s="38" t="s">
        <v>12</v>
      </c>
      <c r="D21" s="127">
        <f t="shared" ref="D21:L21" si="3">SUM(D16:D20)</f>
        <v>413</v>
      </c>
      <c r="E21" s="126">
        <f t="shared" si="3"/>
        <v>362</v>
      </c>
      <c r="F21" s="127">
        <f t="shared" si="3"/>
        <v>680</v>
      </c>
      <c r="G21" s="127">
        <f t="shared" si="3"/>
        <v>802</v>
      </c>
      <c r="H21" s="127">
        <f t="shared" si="3"/>
        <v>634</v>
      </c>
      <c r="I21" s="126">
        <f t="shared" si="3"/>
        <v>106</v>
      </c>
      <c r="J21" s="126">
        <f t="shared" si="3"/>
        <v>55</v>
      </c>
      <c r="K21" s="126">
        <f t="shared" si="3"/>
        <v>831</v>
      </c>
      <c r="L21" s="126">
        <f t="shared" si="3"/>
        <v>394</v>
      </c>
      <c r="M21" s="127">
        <f t="shared" si="1"/>
        <v>4277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0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0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59">
        <v>1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59">
        <v>3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/>
      <c r="E31" s="126"/>
      <c r="F31" s="126">
        <v>10</v>
      </c>
      <c r="G31" s="127">
        <v>9</v>
      </c>
      <c r="H31" s="127">
        <v>13</v>
      </c>
      <c r="I31" s="127">
        <v>7</v>
      </c>
      <c r="J31" s="127">
        <v>1</v>
      </c>
      <c r="K31" s="127">
        <v>11</v>
      </c>
      <c r="L31" s="127">
        <v>10</v>
      </c>
      <c r="M31" s="127">
        <f t="shared" ref="M31:M58" si="4">SUM(D31:L31)</f>
        <v>61</v>
      </c>
    </row>
    <row r="32" spans="2:13" x14ac:dyDescent="0.3">
      <c r="C32" s="38" t="s">
        <v>34</v>
      </c>
      <c r="D32" s="126"/>
      <c r="E32" s="126"/>
      <c r="F32" s="127">
        <v>2</v>
      </c>
      <c r="G32" s="126">
        <v>1</v>
      </c>
      <c r="H32" s="126">
        <v>3</v>
      </c>
      <c r="I32" s="126"/>
      <c r="J32" s="126"/>
      <c r="K32" s="126"/>
      <c r="L32" s="126">
        <v>2</v>
      </c>
      <c r="M32" s="127">
        <f t="shared" si="4"/>
        <v>8</v>
      </c>
    </row>
    <row r="33" spans="3:13" x14ac:dyDescent="0.3">
      <c r="C33" s="38" t="s">
        <v>35</v>
      </c>
      <c r="D33" s="126"/>
      <c r="E33" s="126"/>
      <c r="F33" s="126">
        <v>2</v>
      </c>
      <c r="G33" s="126">
        <v>1</v>
      </c>
      <c r="H33" s="127"/>
      <c r="I33" s="127"/>
      <c r="J33" s="126"/>
      <c r="K33" s="126">
        <v>18</v>
      </c>
      <c r="L33" s="127">
        <v>1</v>
      </c>
      <c r="M33" s="127">
        <f t="shared" si="4"/>
        <v>22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4"/>
        <v>0</v>
      </c>
    </row>
    <row r="35" spans="3:13" x14ac:dyDescent="0.3">
      <c r="C35" s="38" t="s">
        <v>37</v>
      </c>
      <c r="D35" s="127"/>
      <c r="E35" s="126">
        <v>1</v>
      </c>
      <c r="F35" s="126"/>
      <c r="G35" s="126"/>
      <c r="H35" s="127"/>
      <c r="I35" s="126"/>
      <c r="J35" s="126"/>
      <c r="K35" s="126"/>
      <c r="L35" s="127"/>
      <c r="M35" s="127">
        <f t="shared" si="4"/>
        <v>1</v>
      </c>
    </row>
    <row r="36" spans="3:13" x14ac:dyDescent="0.3">
      <c r="C36" s="38" t="s">
        <v>38</v>
      </c>
      <c r="D36" s="127"/>
      <c r="E36" s="126"/>
      <c r="F36" s="127"/>
      <c r="G36" s="127"/>
      <c r="H36" s="127"/>
      <c r="I36" s="126"/>
      <c r="J36" s="126"/>
      <c r="K36" s="126">
        <v>2</v>
      </c>
      <c r="L36" s="126"/>
      <c r="M36" s="127">
        <f t="shared" si="4"/>
        <v>2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>
        <v>3</v>
      </c>
      <c r="I39" s="127"/>
      <c r="J39" s="126"/>
      <c r="K39" s="126"/>
      <c r="L39" s="127"/>
      <c r="M39" s="127">
        <f t="shared" si="4"/>
        <v>3</v>
      </c>
    </row>
    <row r="40" spans="3:13" x14ac:dyDescent="0.3">
      <c r="C40" s="38" t="s">
        <v>42</v>
      </c>
      <c r="D40" s="126"/>
      <c r="E40" s="126"/>
      <c r="F40" s="127"/>
      <c r="G40" s="127"/>
      <c r="H40" s="127"/>
      <c r="I40" s="127"/>
      <c r="J40" s="126"/>
      <c r="K40" s="126"/>
      <c r="L40" s="127"/>
      <c r="M40" s="127">
        <f t="shared" si="4"/>
        <v>0</v>
      </c>
    </row>
    <row r="41" spans="3:13" x14ac:dyDescent="0.3">
      <c r="C41" s="38" t="s">
        <v>43</v>
      </c>
      <c r="D41" s="126">
        <v>5</v>
      </c>
      <c r="E41" s="126"/>
      <c r="F41" s="127">
        <v>13</v>
      </c>
      <c r="G41" s="127">
        <v>2</v>
      </c>
      <c r="H41" s="127">
        <v>2</v>
      </c>
      <c r="I41" s="127">
        <v>2</v>
      </c>
      <c r="J41" s="126">
        <v>2</v>
      </c>
      <c r="K41" s="126">
        <v>48</v>
      </c>
      <c r="L41" s="127">
        <v>2</v>
      </c>
      <c r="M41" s="127">
        <f t="shared" si="4"/>
        <v>76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4"/>
        <v>0</v>
      </c>
    </row>
    <row r="43" spans="3:13" x14ac:dyDescent="0.3">
      <c r="C43" s="37" t="s">
        <v>45</v>
      </c>
      <c r="D43" s="126"/>
      <c r="E43" s="126"/>
      <c r="F43" s="127">
        <v>1</v>
      </c>
      <c r="G43" s="127"/>
      <c r="H43" s="127">
        <v>4</v>
      </c>
      <c r="I43" s="127"/>
      <c r="J43" s="127"/>
      <c r="K43" s="127">
        <v>4</v>
      </c>
      <c r="L43" s="127"/>
      <c r="M43" s="127">
        <f t="shared" si="4"/>
        <v>9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3">
      <c r="C48" s="37" t="s">
        <v>50</v>
      </c>
      <c r="D48" s="127">
        <v>7</v>
      </c>
      <c r="E48" s="127">
        <v>7</v>
      </c>
      <c r="F48" s="127">
        <v>12</v>
      </c>
      <c r="G48" s="127">
        <v>34</v>
      </c>
      <c r="H48" s="127">
        <v>29</v>
      </c>
      <c r="I48" s="127">
        <v>1</v>
      </c>
      <c r="J48" s="127">
        <v>8</v>
      </c>
      <c r="K48" s="127">
        <v>63</v>
      </c>
      <c r="L48" s="127">
        <v>16</v>
      </c>
      <c r="M48" s="127">
        <f t="shared" si="4"/>
        <v>177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3">
      <c r="C51" s="38" t="s">
        <v>53</v>
      </c>
      <c r="D51" s="127">
        <v>4</v>
      </c>
      <c r="E51" s="126"/>
      <c r="F51" s="127">
        <v>2</v>
      </c>
      <c r="G51" s="127">
        <v>3</v>
      </c>
      <c r="H51" s="127"/>
      <c r="I51" s="127">
        <v>7</v>
      </c>
      <c r="J51" s="127"/>
      <c r="K51" s="127">
        <v>17</v>
      </c>
      <c r="L51" s="127"/>
      <c r="M51" s="127">
        <f t="shared" si="4"/>
        <v>33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3">
      <c r="C53" s="38" t="s">
        <v>167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3">
      <c r="C54" s="38" t="s">
        <v>55</v>
      </c>
      <c r="D54" s="127">
        <v>2</v>
      </c>
      <c r="E54" s="126">
        <v>3</v>
      </c>
      <c r="F54" s="127">
        <v>2</v>
      </c>
      <c r="G54" s="127">
        <v>1</v>
      </c>
      <c r="H54" s="127">
        <v>4</v>
      </c>
      <c r="I54" s="127"/>
      <c r="J54" s="127"/>
      <c r="K54" s="127">
        <v>8</v>
      </c>
      <c r="L54" s="127">
        <v>4</v>
      </c>
      <c r="M54" s="127">
        <f t="shared" si="4"/>
        <v>24</v>
      </c>
    </row>
    <row r="55" spans="2:14" x14ac:dyDescent="0.3">
      <c r="C55" s="38" t="s">
        <v>56</v>
      </c>
      <c r="D55" s="126"/>
      <c r="E55" s="126"/>
      <c r="F55" s="126"/>
      <c r="G55" s="127"/>
      <c r="H55" s="126"/>
      <c r="I55" s="127"/>
      <c r="J55" s="127"/>
      <c r="K55" s="127"/>
      <c r="L55" s="127"/>
      <c r="M55" s="127">
        <f t="shared" si="4"/>
        <v>0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>
        <v>2</v>
      </c>
      <c r="K56" s="127"/>
      <c r="L56" s="127"/>
      <c r="M56" s="127">
        <f t="shared" si="4"/>
        <v>2</v>
      </c>
    </row>
    <row r="57" spans="2:14" x14ac:dyDescent="0.3">
      <c r="C57" s="214" t="s">
        <v>58</v>
      </c>
      <c r="D57" s="126"/>
      <c r="E57" s="126"/>
      <c r="F57" s="126">
        <v>1</v>
      </c>
      <c r="G57" s="127"/>
      <c r="H57" s="126"/>
      <c r="I57" s="127"/>
      <c r="J57" s="126">
        <v>1</v>
      </c>
      <c r="K57" s="126"/>
      <c r="L57" s="127"/>
      <c r="M57" s="127">
        <f t="shared" si="4"/>
        <v>2</v>
      </c>
    </row>
    <row r="58" spans="2:14" ht="15" thickBot="1" x14ac:dyDescent="0.35">
      <c r="C58" s="215" t="s">
        <v>59</v>
      </c>
      <c r="D58" s="145"/>
      <c r="E58" s="128">
        <v>2</v>
      </c>
      <c r="F58" s="128">
        <v>3</v>
      </c>
      <c r="G58" s="128"/>
      <c r="H58" s="128">
        <v>3</v>
      </c>
      <c r="I58" s="128"/>
      <c r="J58" s="128">
        <v>1</v>
      </c>
      <c r="K58" s="128">
        <v>10</v>
      </c>
      <c r="L58" s="128"/>
      <c r="M58" s="144">
        <f t="shared" si="4"/>
        <v>19</v>
      </c>
    </row>
    <row r="59" spans="2:14" ht="15" thickTop="1" x14ac:dyDescent="0.3">
      <c r="C59" s="36" t="s">
        <v>29</v>
      </c>
      <c r="D59" s="143">
        <f t="shared" ref="D59:M59" si="5">SUM(D31:D58)</f>
        <v>18</v>
      </c>
      <c r="E59" s="143">
        <f>SUM(E31:E58)</f>
        <v>13</v>
      </c>
      <c r="F59" s="143">
        <f t="shared" si="5"/>
        <v>48</v>
      </c>
      <c r="G59" s="143">
        <f t="shared" si="5"/>
        <v>51</v>
      </c>
      <c r="H59" s="143">
        <f t="shared" si="5"/>
        <v>61</v>
      </c>
      <c r="I59" s="143">
        <f t="shared" si="5"/>
        <v>17</v>
      </c>
      <c r="J59" s="143">
        <f t="shared" si="5"/>
        <v>15</v>
      </c>
      <c r="K59" s="143">
        <f t="shared" si="5"/>
        <v>181</v>
      </c>
      <c r="L59" s="143">
        <f t="shared" si="5"/>
        <v>35</v>
      </c>
      <c r="M59" s="143">
        <f t="shared" si="5"/>
        <v>439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5">
        <v>3395</v>
      </c>
      <c r="E64" s="125">
        <v>79</v>
      </c>
      <c r="F64" s="125">
        <v>12339</v>
      </c>
      <c r="G64" s="125">
        <v>11971</v>
      </c>
      <c r="H64" s="125">
        <v>9076</v>
      </c>
      <c r="I64" s="125">
        <v>103</v>
      </c>
      <c r="J64" s="125">
        <v>57</v>
      </c>
      <c r="K64" s="125">
        <v>11370</v>
      </c>
      <c r="L64" s="125">
        <v>1830</v>
      </c>
      <c r="M64" s="21">
        <f>SUM(D64:L64)</f>
        <v>50220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98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144</v>
      </c>
      <c r="N68" s="16"/>
    </row>
    <row r="69" spans="2:14" x14ac:dyDescent="0.3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327">
        <v>43836</v>
      </c>
      <c r="D70" s="129">
        <f>48+39+20+21</f>
        <v>128</v>
      </c>
      <c r="E70" s="129">
        <v>969</v>
      </c>
      <c r="F70" s="135">
        <f>35+13+8+75+5+30+67+1</f>
        <v>234</v>
      </c>
      <c r="G70" s="135">
        <f>41+3+18+4+1+5+4+5+2+22+16+11+4+64+3+4+2+9+3+11+2+6+19+15+4+8+15+10+6+1+6+2+10+6+8+3+16+5+1+1+2+3</f>
        <v>381</v>
      </c>
      <c r="H70" s="129">
        <v>52</v>
      </c>
      <c r="I70" s="135">
        <f>21+185+4741</f>
        <v>4947</v>
      </c>
      <c r="J70" s="135">
        <v>13</v>
      </c>
      <c r="K70" s="129">
        <v>17</v>
      </c>
      <c r="L70" s="135">
        <v>239</v>
      </c>
      <c r="M70" s="129">
        <f>N72+N73</f>
        <v>5478</v>
      </c>
      <c r="N70" s="328">
        <f>SUM(C70:M70)</f>
        <v>56294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222" t="s">
        <v>195</v>
      </c>
      <c r="M72" s="24"/>
      <c r="N72">
        <v>5299</v>
      </c>
    </row>
    <row r="73" spans="2:14" x14ac:dyDescent="0.3">
      <c r="B73" s="10"/>
      <c r="C73" s="6" t="s">
        <v>264</v>
      </c>
      <c r="D73" s="7"/>
      <c r="E73" s="8">
        <v>398</v>
      </c>
      <c r="F73" s="10"/>
      <c r="G73" s="10"/>
      <c r="H73" s="12"/>
      <c r="I73" s="10"/>
      <c r="K73" s="10"/>
      <c r="L73" s="10" t="s">
        <v>196</v>
      </c>
      <c r="M73" s="10"/>
      <c r="N73">
        <v>179</v>
      </c>
    </row>
    <row r="74" spans="2:14" x14ac:dyDescent="0.3">
      <c r="C74" s="42" t="s">
        <v>79</v>
      </c>
      <c r="D74" s="43"/>
      <c r="E74" s="31">
        <v>389</v>
      </c>
      <c r="I74" s="10"/>
      <c r="K74" s="10"/>
      <c r="L74" s="10"/>
      <c r="M74" s="10"/>
    </row>
    <row r="75" spans="2:14" x14ac:dyDescent="0.3">
      <c r="C75" s="44" t="s">
        <v>185</v>
      </c>
      <c r="D75" s="47"/>
      <c r="E75" s="16">
        <v>43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205" t="s">
        <v>117</v>
      </c>
      <c r="D77" s="49"/>
      <c r="E77" s="10"/>
      <c r="I77" s="10"/>
    </row>
    <row r="78" spans="2:14" x14ac:dyDescent="0.3">
      <c r="C78" s="51" t="s">
        <v>118</v>
      </c>
      <c r="D78" s="166">
        <v>924</v>
      </c>
      <c r="E78" s="10"/>
      <c r="I78" s="10"/>
    </row>
    <row r="79" spans="2:14" x14ac:dyDescent="0.3">
      <c r="C79" s="53" t="s">
        <v>108</v>
      </c>
      <c r="D79" s="56">
        <v>844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206" t="s">
        <v>77</v>
      </c>
      <c r="D81" s="105"/>
      <c r="E81" s="8">
        <v>77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46">
        <v>77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27">
        <v>35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203" t="s">
        <v>179</v>
      </c>
      <c r="D89" s="126">
        <v>75</v>
      </c>
      <c r="E89" s="126">
        <v>8</v>
      </c>
      <c r="F89" s="126">
        <v>256</v>
      </c>
      <c r="G89" s="167">
        <v>673</v>
      </c>
      <c r="H89" s="167">
        <v>110</v>
      </c>
      <c r="I89" s="167">
        <v>0</v>
      </c>
      <c r="J89" s="167">
        <v>0</v>
      </c>
      <c r="K89" s="167">
        <v>346</v>
      </c>
      <c r="L89" s="167">
        <v>18</v>
      </c>
      <c r="M89" s="168" t="s">
        <v>126</v>
      </c>
      <c r="N89" s="119">
        <f>SUM(D89:M89)</f>
        <v>1486</v>
      </c>
    </row>
    <row r="90" spans="2:14" x14ac:dyDescent="0.3">
      <c r="B90" s="9"/>
      <c r="C90" s="12" t="s">
        <v>13</v>
      </c>
      <c r="D90" s="126">
        <v>16</v>
      </c>
      <c r="E90" s="126">
        <v>1</v>
      </c>
      <c r="F90" s="126">
        <v>18</v>
      </c>
      <c r="G90" s="167">
        <v>91</v>
      </c>
      <c r="H90" s="167">
        <v>6</v>
      </c>
      <c r="I90" s="167">
        <v>0</v>
      </c>
      <c r="J90" s="167">
        <v>0</v>
      </c>
      <c r="K90" s="167">
        <v>59</v>
      </c>
      <c r="L90" s="167">
        <v>2</v>
      </c>
      <c r="M90" s="167">
        <v>18</v>
      </c>
      <c r="N90" s="119">
        <f>SUM(D90:M90)</f>
        <v>211</v>
      </c>
    </row>
    <row r="91" spans="2:14" ht="15" thickBot="1" x14ac:dyDescent="0.35">
      <c r="B91" s="9"/>
      <c r="C91" s="12" t="s">
        <v>14</v>
      </c>
      <c r="D91" s="128">
        <v>0</v>
      </c>
      <c r="E91" s="128">
        <v>0</v>
      </c>
      <c r="F91" s="128">
        <v>45</v>
      </c>
      <c r="G91" s="128">
        <v>20</v>
      </c>
      <c r="H91" s="128">
        <v>45</v>
      </c>
      <c r="I91" s="128">
        <v>0</v>
      </c>
      <c r="J91" s="128">
        <v>0</v>
      </c>
      <c r="K91" s="128">
        <v>77</v>
      </c>
      <c r="L91" s="128">
        <v>14</v>
      </c>
      <c r="M91" s="169" t="s">
        <v>126</v>
      </c>
      <c r="N91" s="120">
        <f>SUM(D91:M91)</f>
        <v>201</v>
      </c>
    </row>
    <row r="92" spans="2:14" ht="15" thickTop="1" x14ac:dyDescent="0.3">
      <c r="B92" s="13"/>
      <c r="C92" s="14" t="s">
        <v>12</v>
      </c>
      <c r="D92" s="143">
        <f>SUM(D89:D91)</f>
        <v>91</v>
      </c>
      <c r="E92" s="143">
        <f t="shared" ref="E92:L92" si="6">SUM(E89,E91)</f>
        <v>8</v>
      </c>
      <c r="F92" s="143">
        <f t="shared" si="6"/>
        <v>301</v>
      </c>
      <c r="G92" s="143">
        <f t="shared" si="6"/>
        <v>693</v>
      </c>
      <c r="H92" s="143">
        <f t="shared" si="6"/>
        <v>155</v>
      </c>
      <c r="I92" s="143">
        <f t="shared" si="6"/>
        <v>0</v>
      </c>
      <c r="J92" s="143">
        <f t="shared" si="6"/>
        <v>0</v>
      </c>
      <c r="K92" s="143">
        <f t="shared" si="6"/>
        <v>423</v>
      </c>
      <c r="L92" s="143">
        <f t="shared" si="6"/>
        <v>32</v>
      </c>
      <c r="M92" s="143">
        <f>SUM(M89:M91)</f>
        <v>18</v>
      </c>
      <c r="N92" s="170">
        <f>SUM(N89,N91)</f>
        <v>1687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2</v>
      </c>
      <c r="E95" s="126">
        <v>0</v>
      </c>
      <c r="F95" s="126">
        <v>11</v>
      </c>
      <c r="G95" s="150">
        <v>22</v>
      </c>
      <c r="H95" s="150">
        <v>5</v>
      </c>
      <c r="I95" s="150">
        <v>0</v>
      </c>
      <c r="J95" s="150">
        <v>0</v>
      </c>
      <c r="K95" s="150">
        <v>37</v>
      </c>
      <c r="L95" s="150">
        <v>1</v>
      </c>
      <c r="M95" s="150">
        <f>SUM(D95:L95)</f>
        <v>78</v>
      </c>
      <c r="N95" s="10"/>
    </row>
    <row r="96" spans="2:14" ht="15" thickBot="1" x14ac:dyDescent="0.35">
      <c r="B96" s="417" t="s">
        <v>177</v>
      </c>
      <c r="C96" s="418"/>
      <c r="D96" s="128">
        <v>0</v>
      </c>
      <c r="E96" s="128"/>
      <c r="F96" s="128">
        <v>0</v>
      </c>
      <c r="G96" s="174">
        <v>81</v>
      </c>
      <c r="H96" s="174">
        <v>4</v>
      </c>
      <c r="I96" s="174">
        <v>18</v>
      </c>
      <c r="J96" s="174">
        <v>0</v>
      </c>
      <c r="K96" s="174">
        <v>88</v>
      </c>
      <c r="L96" s="174">
        <v>0</v>
      </c>
      <c r="M96" s="150">
        <f t="shared" ref="M96:M97" si="7">SUM(D96:L96)</f>
        <v>191</v>
      </c>
      <c r="N96" s="10"/>
    </row>
    <row r="97" spans="1:15" ht="15" thickTop="1" x14ac:dyDescent="0.3">
      <c r="B97" s="28"/>
      <c r="C97" s="190" t="s">
        <v>29</v>
      </c>
      <c r="D97" s="171">
        <f t="shared" ref="D97:L97" si="8">SUM(D95:D96)</f>
        <v>2</v>
      </c>
      <c r="E97" s="171">
        <f t="shared" si="8"/>
        <v>0</v>
      </c>
      <c r="F97" s="171">
        <f t="shared" si="8"/>
        <v>11</v>
      </c>
      <c r="G97" s="171">
        <f t="shared" si="8"/>
        <v>103</v>
      </c>
      <c r="H97" s="171">
        <f t="shared" si="8"/>
        <v>9</v>
      </c>
      <c r="I97" s="172">
        <f t="shared" si="8"/>
        <v>18</v>
      </c>
      <c r="J97" s="171">
        <f t="shared" si="8"/>
        <v>0</v>
      </c>
      <c r="K97" s="171">
        <f t="shared" si="8"/>
        <v>125</v>
      </c>
      <c r="L97" s="171">
        <f t="shared" si="8"/>
        <v>1</v>
      </c>
      <c r="M97" s="150">
        <f t="shared" si="7"/>
        <v>269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43">
        <v>0</v>
      </c>
      <c r="E99" s="143">
        <v>0</v>
      </c>
      <c r="F99" s="143">
        <v>2</v>
      </c>
      <c r="G99" s="151">
        <v>21</v>
      </c>
      <c r="H99" s="151">
        <v>0</v>
      </c>
      <c r="I99" s="151">
        <v>0</v>
      </c>
      <c r="J99" s="151">
        <v>0</v>
      </c>
      <c r="K99" s="151">
        <v>83</v>
      </c>
      <c r="L99" s="151">
        <v>1</v>
      </c>
      <c r="M99" s="151">
        <f>SUM(D99:L99)</f>
        <v>107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1:15" x14ac:dyDescent="0.3">
      <c r="B104" s="374" t="s">
        <v>23</v>
      </c>
      <c r="C104" s="375"/>
      <c r="D104" s="131">
        <v>27.75</v>
      </c>
      <c r="E104" s="131">
        <v>0</v>
      </c>
      <c r="F104" s="131">
        <v>73.45</v>
      </c>
      <c r="G104" s="131">
        <v>43.41</v>
      </c>
      <c r="H104" s="131">
        <v>80</v>
      </c>
      <c r="I104" s="131">
        <v>0</v>
      </c>
      <c r="J104" s="131">
        <v>0</v>
      </c>
      <c r="K104" s="131">
        <v>53</v>
      </c>
      <c r="L104" s="131">
        <v>13.5</v>
      </c>
      <c r="M104" s="132"/>
      <c r="N104" s="133">
        <f>SUM(D104:M104)</f>
        <v>291.11</v>
      </c>
    </row>
    <row r="105" spans="1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205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30">
        <v>959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30">
        <v>138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30">
        <v>15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30">
        <v>13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6">
        <v>0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18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16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0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454+120</f>
        <v>574</v>
      </c>
    </row>
    <row r="120" spans="2:14" x14ac:dyDescent="0.3">
      <c r="C120" s="9" t="s">
        <v>20</v>
      </c>
      <c r="D120" s="10"/>
      <c r="E120" s="137">
        <f>231+53</f>
        <v>284</v>
      </c>
    </row>
    <row r="121" spans="2:14" x14ac:dyDescent="0.3">
      <c r="C121" s="9" t="s">
        <v>19</v>
      </c>
      <c r="D121" s="10"/>
      <c r="E121" s="137">
        <v>27</v>
      </c>
    </row>
    <row r="122" spans="2:14" x14ac:dyDescent="0.3">
      <c r="C122" s="9" t="s">
        <v>93</v>
      </c>
      <c r="D122" s="10"/>
      <c r="E122" s="137">
        <f>532+37</f>
        <v>569</v>
      </c>
    </row>
    <row r="123" spans="2:14" x14ac:dyDescent="0.3">
      <c r="C123" s="13" t="s">
        <v>96</v>
      </c>
      <c r="D123" s="15"/>
      <c r="E123" s="138">
        <v>0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f>5</f>
        <v>5</v>
      </c>
    </row>
    <row r="127" spans="2:14" x14ac:dyDescent="0.3">
      <c r="C127" s="51" t="s">
        <v>88</v>
      </c>
      <c r="D127" s="10"/>
      <c r="E127" s="137">
        <v>6</v>
      </c>
    </row>
    <row r="128" spans="2:14" x14ac:dyDescent="0.3">
      <c r="C128" s="51" t="s">
        <v>90</v>
      </c>
      <c r="D128" s="10"/>
      <c r="E128" s="137">
        <f>27</f>
        <v>27</v>
      </c>
    </row>
    <row r="129" spans="3:15" x14ac:dyDescent="0.3">
      <c r="C129" s="51" t="s">
        <v>92</v>
      </c>
      <c r="D129" s="12"/>
      <c r="E129" s="137">
        <f>1170+130+3</f>
        <v>1303</v>
      </c>
    </row>
    <row r="130" spans="3:15" x14ac:dyDescent="0.3">
      <c r="C130" s="51" t="s">
        <v>95</v>
      </c>
      <c r="D130" s="12"/>
      <c r="E130" s="137">
        <f>36+1+43</f>
        <v>80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v>10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v>28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218" t="s">
        <v>100</v>
      </c>
      <c r="D133" s="10"/>
      <c r="E133" s="137">
        <v>6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>
        <v>0</v>
      </c>
    </row>
    <row r="137" spans="3:15" x14ac:dyDescent="0.3">
      <c r="C137" s="50" t="s">
        <v>25</v>
      </c>
      <c r="D137" s="10"/>
      <c r="E137" s="139">
        <v>24</v>
      </c>
    </row>
    <row r="138" spans="3:15" x14ac:dyDescent="0.3">
      <c r="C138" s="50" t="s">
        <v>149</v>
      </c>
      <c r="D138" s="10"/>
      <c r="E138" s="139">
        <v>1</v>
      </c>
    </row>
    <row r="139" spans="3:15" x14ac:dyDescent="0.3">
      <c r="C139" s="52" t="s">
        <v>26</v>
      </c>
      <c r="D139" s="15"/>
      <c r="E139" s="138">
        <f>331+79+165</f>
        <v>575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191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6</v>
      </c>
      <c r="F144" s="126">
        <v>0</v>
      </c>
      <c r="G144" s="157">
        <f>SUM(E144:F144)</f>
        <v>6</v>
      </c>
    </row>
    <row r="145" spans="2:14" x14ac:dyDescent="0.3">
      <c r="C145" s="199" t="s">
        <v>13</v>
      </c>
      <c r="D145" s="163"/>
      <c r="E145" s="126">
        <v>1</v>
      </c>
      <c r="F145" s="126" t="s">
        <v>126</v>
      </c>
      <c r="G145" s="157">
        <f t="shared" ref="G145:G148" si="9">SUM(E145:F145)</f>
        <v>1</v>
      </c>
    </row>
    <row r="146" spans="2:14" x14ac:dyDescent="0.3">
      <c r="C146" s="199" t="s">
        <v>122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3">
      <c r="C147" s="158" t="s">
        <v>124</v>
      </c>
      <c r="D147" s="162"/>
      <c r="E147" s="127">
        <v>18</v>
      </c>
      <c r="F147" s="127">
        <v>0</v>
      </c>
      <c r="G147" s="157">
        <f t="shared" si="9"/>
        <v>18</v>
      </c>
      <c r="L147" s="10"/>
      <c r="M147" s="29"/>
    </row>
    <row r="148" spans="2:14" x14ac:dyDescent="0.3">
      <c r="C148" s="159" t="s">
        <v>13</v>
      </c>
      <c r="D148" s="158"/>
      <c r="E148" s="127">
        <v>1</v>
      </c>
      <c r="F148" s="127" t="s">
        <v>126</v>
      </c>
      <c r="G148" s="157">
        <f t="shared" si="9"/>
        <v>1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42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213" t="s">
        <v>153</v>
      </c>
    </row>
    <row r="152" spans="2:14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5.5" customHeight="1" x14ac:dyDescent="0.3">
      <c r="B153" s="399"/>
      <c r="C153" s="400"/>
      <c r="D153" s="385"/>
      <c r="E153" s="386"/>
      <c r="F153" s="106"/>
    </row>
    <row r="154" spans="2:14" ht="30.75" customHeight="1" x14ac:dyDescent="0.3">
      <c r="B154" s="372" t="s">
        <v>169</v>
      </c>
      <c r="C154" s="373"/>
      <c r="D154" s="370">
        <v>527</v>
      </c>
      <c r="E154" s="371"/>
      <c r="F154" s="107"/>
    </row>
    <row r="155" spans="2:14" ht="27.75" customHeight="1" x14ac:dyDescent="0.3">
      <c r="B155" s="372" t="s">
        <v>183</v>
      </c>
      <c r="C155" s="373"/>
      <c r="D155" s="370">
        <v>2139</v>
      </c>
      <c r="E155" s="371"/>
      <c r="F155" s="107"/>
    </row>
    <row r="156" spans="2:14" x14ac:dyDescent="0.3">
      <c r="B156" s="372" t="s">
        <v>154</v>
      </c>
      <c r="C156" s="373"/>
      <c r="D156" s="370">
        <v>5701</v>
      </c>
      <c r="E156" s="371"/>
      <c r="F156" s="107"/>
    </row>
    <row r="157" spans="2:14" x14ac:dyDescent="0.3">
      <c r="B157" s="372" t="s">
        <v>155</v>
      </c>
      <c r="C157" s="373"/>
      <c r="D157" s="370">
        <v>378</v>
      </c>
      <c r="E157" s="371"/>
      <c r="F157" s="107"/>
    </row>
    <row r="158" spans="2:14" x14ac:dyDescent="0.3">
      <c r="B158" s="372" t="s">
        <v>156</v>
      </c>
      <c r="C158" s="373"/>
      <c r="D158" s="370">
        <v>6548</v>
      </c>
      <c r="E158" s="371"/>
      <c r="F158" s="107"/>
    </row>
    <row r="159" spans="2:14" x14ac:dyDescent="0.3">
      <c r="B159" s="372" t="s">
        <v>123</v>
      </c>
      <c r="C159" s="373"/>
      <c r="D159" s="370">
        <v>270</v>
      </c>
      <c r="E159" s="371"/>
      <c r="F159" s="107"/>
    </row>
    <row r="160" spans="2:14" x14ac:dyDescent="0.3">
      <c r="B160" s="372" t="s">
        <v>125</v>
      </c>
      <c r="C160" s="373"/>
      <c r="D160" s="370">
        <v>144</v>
      </c>
      <c r="E160" s="371"/>
      <c r="F160" s="107"/>
    </row>
    <row r="161" spans="2:15" x14ac:dyDescent="0.3">
      <c r="B161" s="372" t="s">
        <v>110</v>
      </c>
      <c r="C161" s="373"/>
      <c r="D161" s="370">
        <v>51</v>
      </c>
      <c r="E161" s="371"/>
      <c r="F161" s="107">
        <v>30</v>
      </c>
    </row>
    <row r="162" spans="2:15" x14ac:dyDescent="0.3">
      <c r="B162" s="372" t="s">
        <v>157</v>
      </c>
      <c r="C162" s="373"/>
      <c r="D162" s="370">
        <v>578</v>
      </c>
      <c r="E162" s="371"/>
      <c r="F162" s="107"/>
    </row>
    <row r="163" spans="2:15" ht="27.75" customHeight="1" x14ac:dyDescent="0.3">
      <c r="B163" s="372" t="s">
        <v>128</v>
      </c>
      <c r="C163" s="373"/>
      <c r="D163" s="370">
        <v>119</v>
      </c>
      <c r="E163" s="371"/>
      <c r="F163" s="107"/>
    </row>
    <row r="164" spans="2:15" ht="24.75" customHeight="1" x14ac:dyDescent="0.3">
      <c r="B164" s="395" t="s">
        <v>158</v>
      </c>
      <c r="C164" s="396"/>
      <c r="D164" s="353">
        <v>272</v>
      </c>
      <c r="E164" s="354"/>
      <c r="F164" s="108"/>
    </row>
    <row r="165" spans="2:15" ht="25.5" customHeight="1" x14ac:dyDescent="0.3">
      <c r="B165" s="395" t="s">
        <v>159</v>
      </c>
      <c r="C165" s="396"/>
      <c r="D165" s="353">
        <v>2729</v>
      </c>
      <c r="E165" s="354"/>
      <c r="F165" s="108"/>
    </row>
    <row r="166" spans="2:15" ht="25.5" customHeight="1" x14ac:dyDescent="0.3">
      <c r="B166" s="397" t="s">
        <v>160</v>
      </c>
      <c r="C166" s="398"/>
      <c r="D166" s="355">
        <v>263</v>
      </c>
      <c r="E166" s="356"/>
      <c r="F166" s="109"/>
    </row>
    <row r="167" spans="2:15" ht="27" customHeight="1" x14ac:dyDescent="0.3">
      <c r="B167" s="387" t="s">
        <v>161</v>
      </c>
      <c r="C167" s="388"/>
      <c r="D167" s="357">
        <v>140</v>
      </c>
      <c r="E167" s="358"/>
      <c r="F167" s="110"/>
    </row>
    <row r="168" spans="2:15" ht="26.25" customHeight="1" x14ac:dyDescent="0.3">
      <c r="B168" s="387" t="s">
        <v>162</v>
      </c>
      <c r="C168" s="388"/>
      <c r="D168" s="357">
        <v>250</v>
      </c>
      <c r="E168" s="358"/>
      <c r="F168" s="110"/>
    </row>
    <row r="169" spans="2:15" ht="27" customHeight="1" x14ac:dyDescent="0.3">
      <c r="B169" s="389" t="s">
        <v>163</v>
      </c>
      <c r="C169" s="390"/>
      <c r="D169" s="359">
        <v>2731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93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704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264</v>
      </c>
    </row>
    <row r="174" spans="2:15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5" ht="40.5" customHeight="1" thickTop="1" x14ac:dyDescent="0.3">
      <c r="B175" s="422" t="s">
        <v>166</v>
      </c>
      <c r="C175" s="423"/>
      <c r="D175" s="343">
        <f>SUM(D152:E174)</f>
        <v>23637</v>
      </c>
      <c r="E175" s="344"/>
      <c r="F175" s="184">
        <f>SUM(F152:F174)</f>
        <v>294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205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50">
        <f>D161</f>
        <v>51</v>
      </c>
      <c r="F178" s="414">
        <f>F161</f>
        <v>30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50">
        <f>D158</f>
        <v>6548</v>
      </c>
      <c r="F181" s="126"/>
      <c r="I181" s="29"/>
      <c r="J181" s="29"/>
      <c r="K181" s="54"/>
      <c r="L181" s="54"/>
      <c r="M181" s="58"/>
    </row>
    <row r="182" spans="2:14" x14ac:dyDescent="0.3">
      <c r="C182" s="415" t="s">
        <v>114</v>
      </c>
      <c r="D182" s="416"/>
      <c r="E182" s="150">
        <f>D156</f>
        <v>5701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323">
        <f>D172</f>
        <v>704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54</v>
      </c>
      <c r="E187" s="143">
        <v>45</v>
      </c>
      <c r="F187" s="143">
        <v>388</v>
      </c>
      <c r="G187" s="177">
        <v>265</v>
      </c>
      <c r="H187" s="177">
        <v>187</v>
      </c>
      <c r="I187" s="177">
        <v>0</v>
      </c>
      <c r="J187" s="177">
        <v>53</v>
      </c>
      <c r="K187" s="177">
        <v>158</v>
      </c>
      <c r="L187" s="177">
        <v>209</v>
      </c>
      <c r="M187" s="177">
        <f>SUM(D187:L187)</f>
        <v>1359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v>109</v>
      </c>
      <c r="H188" s="126" t="s">
        <v>126</v>
      </c>
      <c r="I188" s="126" t="s">
        <v>126</v>
      </c>
      <c r="J188" s="126" t="s">
        <v>126</v>
      </c>
      <c r="K188" s="126">
        <v>204</v>
      </c>
      <c r="L188" s="126">
        <v>341</v>
      </c>
      <c r="M188" s="127">
        <f>SUM(D188:L188)</f>
        <v>654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0</v>
      </c>
      <c r="G189" s="128">
        <v>7</v>
      </c>
      <c r="H189" s="144">
        <v>0</v>
      </c>
      <c r="I189" s="144">
        <v>0</v>
      </c>
      <c r="J189" s="128" t="s">
        <v>126</v>
      </c>
      <c r="K189" s="128">
        <v>0</v>
      </c>
      <c r="L189" s="144">
        <v>3</v>
      </c>
      <c r="M189" s="144">
        <f>SUM(D189:L189)</f>
        <v>10</v>
      </c>
    </row>
    <row r="190" spans="2:14" ht="15" thickTop="1" x14ac:dyDescent="0.3">
      <c r="C190" s="38" t="s">
        <v>12</v>
      </c>
      <c r="D190" s="143">
        <f>SUM(D187:D189)</f>
        <v>54</v>
      </c>
      <c r="E190" s="143">
        <f>SUM(E187:E189)</f>
        <v>45</v>
      </c>
      <c r="F190" s="143">
        <f t="shared" ref="F190:L190" si="10">SUM(F187:F189)</f>
        <v>388</v>
      </c>
      <c r="G190" s="143">
        <f t="shared" si="10"/>
        <v>381</v>
      </c>
      <c r="H190" s="177">
        <f t="shared" si="10"/>
        <v>187</v>
      </c>
      <c r="I190" s="143">
        <f t="shared" si="10"/>
        <v>0</v>
      </c>
      <c r="J190" s="143">
        <f t="shared" si="10"/>
        <v>53</v>
      </c>
      <c r="K190" s="143">
        <f t="shared" si="10"/>
        <v>362</v>
      </c>
      <c r="L190" s="177">
        <f t="shared" si="10"/>
        <v>553</v>
      </c>
      <c r="M190" s="177">
        <f>SUM(D190:L190)</f>
        <v>2023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s="68" t="s">
        <v>387</v>
      </c>
      <c r="D196" s="22"/>
      <c r="E196" s="22"/>
      <c r="F196" s="22"/>
      <c r="G196" s="69"/>
      <c r="H196" s="70" t="s">
        <v>380</v>
      </c>
      <c r="I196" s="71"/>
      <c r="J196" s="72"/>
      <c r="K196" s="73"/>
      <c r="L196" s="74"/>
      <c r="M196" s="74"/>
      <c r="N196" s="75"/>
    </row>
    <row r="197" spans="2:14" ht="17.399999999999999" x14ac:dyDescent="0.3">
      <c r="B197" s="68" t="s">
        <v>407</v>
      </c>
      <c r="D197" s="22"/>
      <c r="E197" s="22"/>
      <c r="F197" s="22"/>
      <c r="G197" s="69"/>
      <c r="H197" s="70" t="s">
        <v>381</v>
      </c>
      <c r="I197" s="71"/>
      <c r="J197" s="72"/>
      <c r="K197" s="73"/>
      <c r="L197" s="74"/>
      <c r="M197" s="74"/>
      <c r="N197" s="75"/>
    </row>
    <row r="198" spans="2:14" ht="17.399999999999999" x14ac:dyDescent="0.3">
      <c r="B198" s="68"/>
      <c r="D198" s="22"/>
      <c r="E198" s="22"/>
      <c r="F198" s="22"/>
      <c r="G198" s="69"/>
      <c r="H198" s="70" t="s">
        <v>382</v>
      </c>
      <c r="I198" s="71"/>
      <c r="J198" s="72"/>
      <c r="K198" s="73"/>
      <c r="L198" s="74"/>
      <c r="M198" s="74"/>
      <c r="N198" s="75"/>
    </row>
    <row r="199" spans="2:14" ht="17.399999999999999" x14ac:dyDescent="0.3">
      <c r="B199" s="68"/>
      <c r="D199" s="22"/>
      <c r="E199" s="22"/>
      <c r="F199" s="22"/>
      <c r="G199" s="69"/>
      <c r="H199" s="70"/>
      <c r="I199" s="71"/>
      <c r="J199" s="72"/>
      <c r="K199" s="73"/>
      <c r="L199" s="74"/>
      <c r="M199" s="74"/>
      <c r="N199" s="75"/>
    </row>
    <row r="200" spans="2:14" x14ac:dyDescent="0.3">
      <c r="B200" s="9"/>
      <c r="C200" s="22"/>
      <c r="D200" s="22"/>
      <c r="E200" s="22"/>
      <c r="F200" s="22"/>
      <c r="G200" s="72"/>
      <c r="H200" s="70"/>
      <c r="I200" s="72"/>
      <c r="J200" s="72"/>
      <c r="K200" s="72"/>
      <c r="L200" s="76"/>
      <c r="M200" s="76"/>
      <c r="N200" s="77"/>
    </row>
    <row r="201" spans="2:14" x14ac:dyDescent="0.3">
      <c r="B201" s="78" t="s">
        <v>136</v>
      </c>
      <c r="C201" s="22"/>
      <c r="D201" s="22"/>
      <c r="E201" s="22"/>
      <c r="F201" s="22"/>
      <c r="G201" s="69"/>
      <c r="H201" s="79" t="s">
        <v>95</v>
      </c>
      <c r="I201" s="72"/>
      <c r="J201" s="72"/>
      <c r="K201" s="72"/>
      <c r="L201" s="76"/>
      <c r="M201" s="76"/>
      <c r="N201" s="77"/>
    </row>
    <row r="202" spans="2:14" x14ac:dyDescent="0.3">
      <c r="B202" s="80" t="s">
        <v>392</v>
      </c>
      <c r="C202" s="10"/>
      <c r="D202" s="10"/>
      <c r="E202" s="10"/>
      <c r="F202" s="10"/>
      <c r="G202" s="10"/>
      <c r="H202" s="70" t="s">
        <v>389</v>
      </c>
      <c r="I202" s="10"/>
      <c r="J202" s="10"/>
      <c r="K202" s="10"/>
      <c r="L202" s="10"/>
      <c r="M202" s="10"/>
      <c r="N202" s="30"/>
    </row>
    <row r="203" spans="2:14" ht="17.399999999999999" x14ac:dyDescent="0.3">
      <c r="B203" s="81" t="s">
        <v>393</v>
      </c>
      <c r="C203" s="82"/>
      <c r="D203" s="22"/>
      <c r="E203" s="22"/>
      <c r="F203" s="22"/>
      <c r="G203" s="72"/>
      <c r="I203" s="72"/>
      <c r="J203" s="71"/>
      <c r="K203" s="83"/>
      <c r="L203" s="22"/>
      <c r="M203" s="22"/>
      <c r="N203" s="84"/>
    </row>
    <row r="204" spans="2:14" ht="17.399999999999999" x14ac:dyDescent="0.3">
      <c r="B204" s="80" t="s">
        <v>394</v>
      </c>
      <c r="C204" s="22"/>
      <c r="D204" s="22"/>
      <c r="E204" s="22"/>
      <c r="F204" s="22"/>
      <c r="G204" s="72"/>
      <c r="H204" s="79" t="s">
        <v>168</v>
      </c>
      <c r="I204" s="71"/>
      <c r="J204" s="72"/>
      <c r="K204" s="72"/>
      <c r="L204" s="22"/>
      <c r="M204" s="22"/>
      <c r="N204" s="84"/>
    </row>
    <row r="205" spans="2:14" ht="17.399999999999999" x14ac:dyDescent="0.3">
      <c r="B205" s="80" t="s">
        <v>395</v>
      </c>
      <c r="C205" s="82"/>
      <c r="D205" s="22"/>
      <c r="E205" s="22"/>
      <c r="F205" s="22"/>
      <c r="G205" s="22"/>
      <c r="H205" s="70" t="s">
        <v>390</v>
      </c>
      <c r="I205" s="71"/>
      <c r="J205" s="71"/>
      <c r="K205" s="71"/>
      <c r="L205" s="71"/>
      <c r="M205" s="22"/>
      <c r="N205" s="84"/>
    </row>
    <row r="206" spans="2:14" x14ac:dyDescent="0.3">
      <c r="B206" s="81" t="s">
        <v>397</v>
      </c>
      <c r="C206" s="22"/>
      <c r="D206" s="79"/>
      <c r="E206" s="22"/>
      <c r="F206" s="79"/>
      <c r="G206" s="86"/>
      <c r="H206" s="70" t="s">
        <v>399</v>
      </c>
      <c r="I206" s="10"/>
      <c r="J206" s="72"/>
      <c r="K206" s="72"/>
      <c r="L206" s="22"/>
      <c r="M206" s="22"/>
      <c r="N206" s="84"/>
    </row>
    <row r="207" spans="2:14" x14ac:dyDescent="0.3">
      <c r="B207" s="81" t="s">
        <v>386</v>
      </c>
      <c r="C207" s="22"/>
      <c r="D207" s="22"/>
      <c r="E207" s="22"/>
      <c r="F207" s="22"/>
      <c r="G207" s="86"/>
      <c r="H207" s="70" t="s">
        <v>400</v>
      </c>
      <c r="I207" s="10"/>
      <c r="J207" s="72"/>
      <c r="K207" s="72"/>
      <c r="L207" s="22"/>
      <c r="M207" s="22"/>
      <c r="N207" s="84"/>
    </row>
    <row r="208" spans="2:14" x14ac:dyDescent="0.3">
      <c r="B208" s="81" t="s">
        <v>388</v>
      </c>
      <c r="C208" s="22"/>
      <c r="D208" s="22"/>
      <c r="E208" s="22"/>
      <c r="F208" s="22"/>
      <c r="G208" s="86"/>
      <c r="H208" s="85" t="s">
        <v>401</v>
      </c>
      <c r="L208" s="22"/>
      <c r="M208" s="22"/>
      <c r="N208" s="84"/>
    </row>
    <row r="209" spans="2:14" x14ac:dyDescent="0.3">
      <c r="B209" s="81" t="s">
        <v>396</v>
      </c>
      <c r="C209" s="22"/>
      <c r="D209" s="22"/>
      <c r="E209" s="22"/>
      <c r="F209" s="22"/>
      <c r="G209" s="86"/>
      <c r="L209" s="22"/>
      <c r="M209" s="22"/>
      <c r="N209" s="84"/>
    </row>
    <row r="210" spans="2:14" ht="17.399999999999999" x14ac:dyDescent="0.3">
      <c r="B210" s="81"/>
      <c r="C210" s="10"/>
      <c r="D210" s="10"/>
      <c r="E210" s="10"/>
      <c r="F210" s="10"/>
      <c r="G210" s="69"/>
      <c r="H210" s="85"/>
      <c r="I210" s="10"/>
      <c r="J210" s="71"/>
      <c r="K210" s="71"/>
      <c r="L210" s="22"/>
      <c r="M210" s="22"/>
      <c r="N210" s="84"/>
    </row>
    <row r="211" spans="2:14" x14ac:dyDescent="0.3">
      <c r="B211" s="88" t="s">
        <v>137</v>
      </c>
      <c r="C211" s="22"/>
      <c r="D211" s="22"/>
      <c r="E211" s="22"/>
      <c r="F211" s="22"/>
      <c r="G211" s="69"/>
      <c r="H211" s="88" t="s">
        <v>138</v>
      </c>
      <c r="I211" s="10"/>
      <c r="J211" s="72"/>
      <c r="K211" s="72"/>
      <c r="L211" s="76"/>
      <c r="M211" s="76"/>
      <c r="N211" s="77"/>
    </row>
    <row r="212" spans="2:14" x14ac:dyDescent="0.3">
      <c r="B212" s="81" t="s">
        <v>384</v>
      </c>
      <c r="C212" s="22"/>
      <c r="D212" s="22"/>
      <c r="E212" s="22"/>
      <c r="F212" s="22"/>
      <c r="G212" s="69"/>
      <c r="H212" s="70" t="s">
        <v>383</v>
      </c>
      <c r="I212" s="10"/>
      <c r="J212" s="72"/>
      <c r="L212" s="76"/>
      <c r="M212" s="76"/>
      <c r="N212" s="77"/>
    </row>
    <row r="213" spans="2:14" x14ac:dyDescent="0.3">
      <c r="B213" s="81" t="s">
        <v>385</v>
      </c>
      <c r="C213" s="22"/>
      <c r="D213" s="22"/>
      <c r="E213" s="22"/>
      <c r="F213" s="22"/>
      <c r="G213" s="69"/>
      <c r="H213" s="70" t="s">
        <v>404</v>
      </c>
      <c r="I213" s="10"/>
      <c r="J213" s="72"/>
      <c r="K213" s="72"/>
      <c r="L213" s="76"/>
      <c r="M213" s="76"/>
      <c r="N213" s="77"/>
    </row>
    <row r="214" spans="2:14" ht="17.399999999999999" x14ac:dyDescent="0.3">
      <c r="B214" s="81" t="s">
        <v>403</v>
      </c>
      <c r="C214" s="22"/>
      <c r="D214" s="22"/>
      <c r="E214" s="22"/>
      <c r="F214" s="22"/>
      <c r="G214" s="69"/>
      <c r="H214" s="321" t="s">
        <v>405</v>
      </c>
      <c r="I214" s="10"/>
      <c r="J214" s="71"/>
      <c r="K214" s="71"/>
      <c r="L214" s="76"/>
      <c r="M214" s="76"/>
      <c r="N214" s="77"/>
    </row>
    <row r="215" spans="2:14" x14ac:dyDescent="0.3">
      <c r="B215" s="81" t="s">
        <v>391</v>
      </c>
      <c r="C215" s="22"/>
      <c r="D215" s="22"/>
      <c r="E215" s="10"/>
      <c r="F215" s="10"/>
      <c r="G215" s="10"/>
      <c r="H215" s="321" t="s">
        <v>406</v>
      </c>
      <c r="I215" s="10"/>
      <c r="J215" s="10"/>
      <c r="K215" s="10"/>
      <c r="L215" s="10"/>
      <c r="M215" s="10"/>
      <c r="N215" s="30"/>
    </row>
    <row r="216" spans="2:14" x14ac:dyDescent="0.3">
      <c r="B216" s="80" t="s">
        <v>398</v>
      </c>
      <c r="C216" s="22"/>
      <c r="D216" s="22"/>
      <c r="E216" s="22"/>
      <c r="F216" s="22"/>
      <c r="G216" s="69"/>
      <c r="I216" s="10"/>
      <c r="J216" s="10"/>
      <c r="K216" s="10"/>
      <c r="L216" s="76"/>
      <c r="M216" s="76"/>
      <c r="N216" s="77"/>
    </row>
    <row r="217" spans="2:14" x14ac:dyDescent="0.3">
      <c r="B217" s="80" t="s">
        <v>402</v>
      </c>
      <c r="C217" s="79"/>
      <c r="D217" s="79"/>
      <c r="E217" s="22"/>
      <c r="F217" s="22"/>
      <c r="G217" s="69"/>
      <c r="I217" s="10"/>
      <c r="J217" s="72"/>
      <c r="K217" s="72"/>
      <c r="L217" s="76"/>
      <c r="M217" s="76"/>
      <c r="N217" s="77"/>
    </row>
    <row r="218" spans="2:14" x14ac:dyDescent="0.3">
      <c r="B218" s="80"/>
      <c r="C218" s="22"/>
      <c r="D218" s="22"/>
      <c r="E218" s="22"/>
      <c r="F218" s="82"/>
      <c r="G218" s="22"/>
      <c r="I218" s="10"/>
      <c r="J218" s="22"/>
      <c r="K218" s="72"/>
      <c r="L218" s="10"/>
      <c r="M218" s="10"/>
      <c r="N218" s="30"/>
    </row>
    <row r="219" spans="2:14" ht="17.399999999999999" x14ac:dyDescent="0.3">
      <c r="B219" s="9"/>
      <c r="C219" s="22"/>
      <c r="D219" s="22"/>
      <c r="E219" s="22"/>
      <c r="F219" s="82"/>
      <c r="G219" s="72"/>
      <c r="H219" s="221"/>
      <c r="I219" s="73"/>
      <c r="J219" s="72"/>
      <c r="K219" s="73"/>
      <c r="L219" s="74"/>
      <c r="M219" s="74"/>
      <c r="N219" s="84"/>
    </row>
    <row r="220" spans="2:14" ht="17.399999999999999" x14ac:dyDescent="0.3">
      <c r="B220" s="90"/>
      <c r="C220" s="91"/>
      <c r="D220" s="91"/>
      <c r="E220" s="91"/>
      <c r="F220" s="92"/>
      <c r="G220" s="93"/>
      <c r="H220" s="15"/>
      <c r="I220" s="95"/>
      <c r="J220" s="93"/>
      <c r="K220" s="95"/>
      <c r="L220" s="96"/>
      <c r="M220" s="96"/>
      <c r="N220" s="97"/>
    </row>
    <row r="221" spans="2:14" x14ac:dyDescent="0.3">
      <c r="B221" s="82"/>
      <c r="C221" s="69"/>
      <c r="D221" s="72"/>
      <c r="E221" s="72"/>
      <c r="F221" s="72"/>
      <c r="G221" s="72"/>
      <c r="H221" s="76"/>
      <c r="I221" s="76"/>
      <c r="J221" s="76"/>
      <c r="K221" s="76"/>
      <c r="L221" s="74"/>
      <c r="M221" s="74"/>
      <c r="N221" s="22"/>
    </row>
  </sheetData>
  <mergeCells count="73"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D166:E166"/>
    <mergeCell ref="B161:C161"/>
    <mergeCell ref="D161:E161"/>
    <mergeCell ref="B162:C162"/>
    <mergeCell ref="D162:E162"/>
    <mergeCell ref="B163:C163"/>
    <mergeCell ref="D163:E16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75:C175"/>
    <mergeCell ref="G152:I152"/>
    <mergeCell ref="F178:G178"/>
    <mergeCell ref="C181:D181"/>
    <mergeCell ref="C182:D182"/>
    <mergeCell ref="C183:D183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</mergeCells>
  <pageMargins left="0.7" right="0.7" top="0.75" bottom="0.75" header="0.3" footer="0.3"/>
  <pageSetup scale="62" fitToHeight="0" orientation="portrait" r:id="rId1"/>
  <rowBreaks count="2" manualBreakCount="2">
    <brk id="149" max="16383" man="1"/>
    <brk id="19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3"/>
  <sheetViews>
    <sheetView topLeftCell="A70" workbookViewId="0">
      <selection activeCell="K90" sqref="K90"/>
    </sheetView>
  </sheetViews>
  <sheetFormatPr defaultRowHeight="14.4" x14ac:dyDescent="0.3"/>
  <cols>
    <col min="6" max="6" width="11.5546875" bestFit="1" customWidth="1"/>
    <col min="8" max="8" width="10.88671875" bestFit="1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>
        <v>43586</v>
      </c>
      <c r="I2" s="2"/>
      <c r="J2" s="2"/>
      <c r="K2" s="5"/>
    </row>
    <row r="4" spans="2:15" x14ac:dyDescent="0.3">
      <c r="B4" s="230" t="s">
        <v>16</v>
      </c>
      <c r="C4" s="231"/>
      <c r="D4" s="232"/>
      <c r="O4" s="22"/>
    </row>
    <row r="5" spans="2:15" x14ac:dyDescent="0.3">
      <c r="C5" s="34"/>
      <c r="D5" s="179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204" t="s">
        <v>17</v>
      </c>
      <c r="D6" s="126">
        <v>75</v>
      </c>
      <c r="E6" s="126">
        <v>0</v>
      </c>
      <c r="F6" s="126">
        <v>160</v>
      </c>
      <c r="G6" s="127">
        <v>281</v>
      </c>
      <c r="H6" s="127">
        <v>81</v>
      </c>
      <c r="I6" s="127">
        <v>1</v>
      </c>
      <c r="J6" s="127">
        <v>4</v>
      </c>
      <c r="K6" s="127">
        <v>91</v>
      </c>
      <c r="L6" s="127">
        <v>58</v>
      </c>
      <c r="M6" s="127">
        <f>SUM(D6:L6)</f>
        <v>751</v>
      </c>
    </row>
    <row r="7" spans="2:15" x14ac:dyDescent="0.3">
      <c r="C7" s="38" t="s">
        <v>18</v>
      </c>
      <c r="D7" s="126">
        <v>1</v>
      </c>
      <c r="E7" s="126">
        <v>0</v>
      </c>
      <c r="F7" s="127">
        <v>1</v>
      </c>
      <c r="G7" s="126">
        <v>1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6</v>
      </c>
    </row>
    <row r="8" spans="2:15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12</v>
      </c>
      <c r="H8" s="127">
        <v>19</v>
      </c>
      <c r="I8" s="127">
        <v>1</v>
      </c>
      <c r="J8" s="126">
        <v>0</v>
      </c>
      <c r="K8" s="126">
        <v>26</v>
      </c>
      <c r="L8" s="127">
        <v>0</v>
      </c>
      <c r="M8" s="127">
        <f>SUM(D8:L8)</f>
        <v>78</v>
      </c>
    </row>
    <row r="9" spans="2:15" x14ac:dyDescent="0.3">
      <c r="C9" s="38" t="s">
        <v>20</v>
      </c>
      <c r="D9" s="126">
        <v>6</v>
      </c>
      <c r="E9" s="126">
        <v>5</v>
      </c>
      <c r="F9" s="126">
        <v>22</v>
      </c>
      <c r="G9" s="126">
        <v>56</v>
      </c>
      <c r="H9" s="127">
        <v>22</v>
      </c>
      <c r="I9" s="126">
        <v>1</v>
      </c>
      <c r="J9" s="126">
        <v>2</v>
      </c>
      <c r="K9" s="126">
        <v>24</v>
      </c>
      <c r="L9" s="127">
        <v>5</v>
      </c>
      <c r="M9" s="127">
        <f>SUM(D9:L9)</f>
        <v>143</v>
      </c>
    </row>
    <row r="10" spans="2:15" x14ac:dyDescent="0.3">
      <c r="C10" s="38" t="s">
        <v>21</v>
      </c>
      <c r="D10" s="127">
        <v>124</v>
      </c>
      <c r="E10" s="126">
        <v>59</v>
      </c>
      <c r="F10" s="126">
        <v>263</v>
      </c>
      <c r="G10" s="126">
        <v>283</v>
      </c>
      <c r="H10" s="127">
        <v>154</v>
      </c>
      <c r="I10" s="126">
        <v>13</v>
      </c>
      <c r="J10" s="126">
        <v>9</v>
      </c>
      <c r="K10" s="126">
        <v>507</v>
      </c>
      <c r="L10" s="127">
        <v>153</v>
      </c>
      <c r="M10" s="127">
        <f>SUM(D10:L10)</f>
        <v>1565</v>
      </c>
    </row>
    <row r="11" spans="2:15" x14ac:dyDescent="0.3">
      <c r="C11" s="38" t="s">
        <v>12</v>
      </c>
      <c r="D11" s="127">
        <f t="shared" ref="D11:M11" si="0">SUM(D6:D10)</f>
        <v>207</v>
      </c>
      <c r="E11" s="126">
        <f t="shared" si="0"/>
        <v>66</v>
      </c>
      <c r="F11" s="127">
        <f t="shared" si="0"/>
        <v>463</v>
      </c>
      <c r="G11" s="127">
        <f t="shared" si="0"/>
        <v>633</v>
      </c>
      <c r="H11" s="127">
        <f t="shared" si="0"/>
        <v>277</v>
      </c>
      <c r="I11" s="126">
        <f t="shared" si="0"/>
        <v>16</v>
      </c>
      <c r="J11" s="126">
        <f t="shared" si="0"/>
        <v>15</v>
      </c>
      <c r="K11" s="126">
        <f t="shared" si="0"/>
        <v>648</v>
      </c>
      <c r="L11" s="126">
        <f t="shared" si="0"/>
        <v>218</v>
      </c>
      <c r="M11" s="127">
        <f t="shared" si="0"/>
        <v>2543</v>
      </c>
    </row>
    <row r="12" spans="2:15" x14ac:dyDescent="0.3">
      <c r="C12" s="249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230" t="s">
        <v>139</v>
      </c>
      <c r="C14" s="231"/>
      <c r="D14" s="232"/>
    </row>
    <row r="15" spans="2:15" x14ac:dyDescent="0.3">
      <c r="C15" s="34"/>
      <c r="D15" s="179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233" t="s">
        <v>24</v>
      </c>
      <c r="D16" s="126">
        <v>96</v>
      </c>
      <c r="E16" s="126">
        <v>0</v>
      </c>
      <c r="F16" s="126">
        <v>28</v>
      </c>
      <c r="G16" s="127">
        <v>178</v>
      </c>
      <c r="H16" s="127">
        <v>102</v>
      </c>
      <c r="I16" s="127">
        <v>19</v>
      </c>
      <c r="J16" s="127">
        <v>12</v>
      </c>
      <c r="K16" s="127">
        <v>159</v>
      </c>
      <c r="L16" s="127">
        <v>18</v>
      </c>
      <c r="M16" s="127">
        <f t="shared" ref="M16:M21" si="1">SUM(D16:L16)</f>
        <v>612</v>
      </c>
    </row>
    <row r="17" spans="2:13" x14ac:dyDescent="0.3">
      <c r="C17" s="249" t="s">
        <v>25</v>
      </c>
      <c r="D17" s="126">
        <v>12</v>
      </c>
      <c r="E17" s="126">
        <v>0</v>
      </c>
      <c r="F17" s="127">
        <v>12</v>
      </c>
      <c r="G17" s="126">
        <v>52</v>
      </c>
      <c r="H17" s="126">
        <v>52</v>
      </c>
      <c r="I17" s="126">
        <v>0</v>
      </c>
      <c r="J17" s="126">
        <v>14</v>
      </c>
      <c r="K17" s="126">
        <v>17</v>
      </c>
      <c r="L17" s="126">
        <v>27</v>
      </c>
      <c r="M17" s="127">
        <f t="shared" si="1"/>
        <v>186</v>
      </c>
    </row>
    <row r="18" spans="2:13" x14ac:dyDescent="0.3">
      <c r="C18" s="38" t="s">
        <v>26</v>
      </c>
      <c r="D18" s="126">
        <v>176</v>
      </c>
      <c r="E18" s="126">
        <v>48</v>
      </c>
      <c r="F18" s="126">
        <v>356</v>
      </c>
      <c r="G18" s="126">
        <v>218</v>
      </c>
      <c r="H18" s="127">
        <v>197</v>
      </c>
      <c r="I18" s="127">
        <v>2</v>
      </c>
      <c r="J18" s="126">
        <v>10</v>
      </c>
      <c r="K18" s="126">
        <v>226</v>
      </c>
      <c r="L18" s="127">
        <v>213</v>
      </c>
      <c r="M18" s="127">
        <f t="shared" si="1"/>
        <v>1446</v>
      </c>
    </row>
    <row r="19" spans="2:13" x14ac:dyDescent="0.3">
      <c r="C19" s="38" t="s">
        <v>27</v>
      </c>
      <c r="D19" s="126">
        <f>11+26</f>
        <v>37</v>
      </c>
      <c r="E19" s="126">
        <f>15+38</f>
        <v>53</v>
      </c>
      <c r="F19" s="126">
        <f>13+23</f>
        <v>36</v>
      </c>
      <c r="G19" s="126">
        <f>21+48</f>
        <v>69</v>
      </c>
      <c r="H19" s="127">
        <f>17+62</f>
        <v>79</v>
      </c>
      <c r="I19" s="126">
        <f>13+29</f>
        <v>42</v>
      </c>
      <c r="J19" s="126">
        <f>30+5</f>
        <v>35</v>
      </c>
      <c r="K19" s="126">
        <f>19+101</f>
        <v>120</v>
      </c>
      <c r="L19" s="127">
        <f>14+49</f>
        <v>63</v>
      </c>
      <c r="M19" s="127">
        <f t="shared" si="1"/>
        <v>534</v>
      </c>
    </row>
    <row r="20" spans="2:13" x14ac:dyDescent="0.3">
      <c r="C20" s="38" t="s">
        <v>28</v>
      </c>
      <c r="D20" s="127">
        <f>D59</f>
        <v>29</v>
      </c>
      <c r="E20" s="127">
        <f t="shared" ref="E20:L20" si="2">E59</f>
        <v>18</v>
      </c>
      <c r="F20" s="127">
        <f t="shared" si="2"/>
        <v>37</v>
      </c>
      <c r="G20" s="127">
        <f t="shared" si="2"/>
        <v>58</v>
      </c>
      <c r="H20" s="127">
        <f t="shared" si="2"/>
        <v>65</v>
      </c>
      <c r="I20" s="127">
        <f t="shared" si="2"/>
        <v>22</v>
      </c>
      <c r="J20" s="127">
        <f t="shared" si="2"/>
        <v>30</v>
      </c>
      <c r="K20" s="127">
        <f t="shared" si="2"/>
        <v>185</v>
      </c>
      <c r="L20" s="127">
        <f t="shared" si="2"/>
        <v>48</v>
      </c>
      <c r="M20" s="127">
        <f t="shared" si="1"/>
        <v>492</v>
      </c>
    </row>
    <row r="21" spans="2:13" x14ac:dyDescent="0.3">
      <c r="C21" s="38" t="s">
        <v>12</v>
      </c>
      <c r="D21" s="127">
        <f t="shared" ref="D21:L21" si="3">SUM(D16:D20)</f>
        <v>350</v>
      </c>
      <c r="E21" s="126">
        <f t="shared" si="3"/>
        <v>119</v>
      </c>
      <c r="F21" s="127">
        <f t="shared" si="3"/>
        <v>469</v>
      </c>
      <c r="G21" s="127">
        <f t="shared" si="3"/>
        <v>575</v>
      </c>
      <c r="H21" s="127">
        <f t="shared" si="3"/>
        <v>495</v>
      </c>
      <c r="I21" s="126">
        <f t="shared" si="3"/>
        <v>85</v>
      </c>
      <c r="J21" s="126">
        <f t="shared" si="3"/>
        <v>101</v>
      </c>
      <c r="K21" s="126">
        <f t="shared" si="3"/>
        <v>707</v>
      </c>
      <c r="L21" s="126">
        <f t="shared" si="3"/>
        <v>369</v>
      </c>
      <c r="M21" s="127">
        <f t="shared" si="1"/>
        <v>3270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0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0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186"/>
      <c r="E26" s="59">
        <v>0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186"/>
      <c r="E27" s="59">
        <v>0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118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234" t="s">
        <v>12</v>
      </c>
    </row>
    <row r="31" spans="2:13" x14ac:dyDescent="0.3">
      <c r="C31" s="37" t="s">
        <v>33</v>
      </c>
      <c r="D31" s="126">
        <v>1</v>
      </c>
      <c r="E31" s="126"/>
      <c r="F31" s="126">
        <v>3</v>
      </c>
      <c r="G31" s="127">
        <v>6</v>
      </c>
      <c r="H31" s="127">
        <v>8</v>
      </c>
      <c r="I31" s="127">
        <v>7</v>
      </c>
      <c r="J31" s="127">
        <v>1</v>
      </c>
      <c r="K31" s="127">
        <v>22</v>
      </c>
      <c r="L31" s="127">
        <v>8</v>
      </c>
      <c r="M31" s="127">
        <f>SUM(D31:L31)</f>
        <v>56</v>
      </c>
    </row>
    <row r="32" spans="2:13" x14ac:dyDescent="0.3">
      <c r="C32" s="38" t="s">
        <v>34</v>
      </c>
      <c r="D32" s="126"/>
      <c r="E32" s="126"/>
      <c r="F32" s="126"/>
      <c r="G32" s="127"/>
      <c r="H32" s="127"/>
      <c r="I32" s="127"/>
      <c r="J32" s="127"/>
      <c r="K32" s="127"/>
      <c r="L32" s="127"/>
      <c r="M32" s="127">
        <f t="shared" ref="M32:M59" si="4">SUM(D32:L32)</f>
        <v>0</v>
      </c>
    </row>
    <row r="33" spans="3:13" x14ac:dyDescent="0.3">
      <c r="C33" s="38" t="s">
        <v>35</v>
      </c>
      <c r="D33" s="126"/>
      <c r="E33" s="126"/>
      <c r="F33" s="126"/>
      <c r="G33" s="127"/>
      <c r="H33" s="127">
        <v>1</v>
      </c>
      <c r="I33" s="127">
        <v>2</v>
      </c>
      <c r="J33" s="127">
        <v>0</v>
      </c>
      <c r="K33" s="127">
        <v>12</v>
      </c>
      <c r="L33" s="127">
        <v>1</v>
      </c>
      <c r="M33" s="127">
        <f t="shared" si="4"/>
        <v>16</v>
      </c>
    </row>
    <row r="34" spans="3:13" x14ac:dyDescent="0.3">
      <c r="C34" s="38" t="s">
        <v>36</v>
      </c>
      <c r="D34" s="126"/>
      <c r="E34" s="126"/>
      <c r="F34" s="126"/>
      <c r="G34" s="127"/>
      <c r="H34" s="127"/>
      <c r="I34" s="127"/>
      <c r="J34" s="127"/>
      <c r="K34" s="127"/>
      <c r="L34" s="127"/>
      <c r="M34" s="127">
        <f t="shared" si="4"/>
        <v>0</v>
      </c>
    </row>
    <row r="35" spans="3:13" x14ac:dyDescent="0.3">
      <c r="C35" s="38" t="s">
        <v>37</v>
      </c>
      <c r="D35" s="127">
        <v>4</v>
      </c>
      <c r="E35" s="126">
        <v>3</v>
      </c>
      <c r="F35" s="126">
        <v>6</v>
      </c>
      <c r="G35" s="126">
        <v>6</v>
      </c>
      <c r="H35" s="127"/>
      <c r="I35" s="126"/>
      <c r="J35" s="126"/>
      <c r="K35" s="126">
        <v>3</v>
      </c>
      <c r="L35" s="127">
        <v>3</v>
      </c>
      <c r="M35" s="127">
        <f t="shared" si="4"/>
        <v>25</v>
      </c>
    </row>
    <row r="36" spans="3:13" x14ac:dyDescent="0.3">
      <c r="C36" s="38" t="s">
        <v>38</v>
      </c>
      <c r="D36" s="127"/>
      <c r="E36" s="126"/>
      <c r="F36" s="127"/>
      <c r="G36" s="127"/>
      <c r="H36" s="127"/>
      <c r="I36" s="126"/>
      <c r="J36" s="126"/>
      <c r="K36" s="126">
        <v>4</v>
      </c>
      <c r="L36" s="126"/>
      <c r="M36" s="127">
        <f t="shared" si="4"/>
        <v>4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>
        <v>1</v>
      </c>
      <c r="I38" s="127"/>
      <c r="J38" s="127"/>
      <c r="K38" s="127"/>
      <c r="L38" s="127"/>
      <c r="M38" s="127">
        <f t="shared" si="4"/>
        <v>1</v>
      </c>
    </row>
    <row r="39" spans="3:13" x14ac:dyDescent="0.3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4"/>
        <v>0</v>
      </c>
    </row>
    <row r="40" spans="3:13" x14ac:dyDescent="0.3">
      <c r="C40" s="38" t="s">
        <v>42</v>
      </c>
      <c r="D40" s="126">
        <v>1</v>
      </c>
      <c r="E40" s="126"/>
      <c r="F40" s="127">
        <v>1</v>
      </c>
      <c r="G40" s="127">
        <v>4</v>
      </c>
      <c r="H40" s="127">
        <v>1</v>
      </c>
      <c r="I40" s="127"/>
      <c r="J40" s="126"/>
      <c r="K40" s="126">
        <v>2</v>
      </c>
      <c r="L40" s="127"/>
      <c r="M40" s="127">
        <f t="shared" si="4"/>
        <v>9</v>
      </c>
    </row>
    <row r="41" spans="3:13" x14ac:dyDescent="0.3">
      <c r="C41" s="38" t="s">
        <v>43</v>
      </c>
      <c r="D41" s="126">
        <v>6</v>
      </c>
      <c r="E41" s="126"/>
      <c r="F41" s="127">
        <v>5</v>
      </c>
      <c r="G41" s="127">
        <v>2</v>
      </c>
      <c r="H41" s="127"/>
      <c r="I41" s="127">
        <v>1</v>
      </c>
      <c r="J41" s="126">
        <v>3</v>
      </c>
      <c r="K41" s="126">
        <v>16</v>
      </c>
      <c r="L41" s="127">
        <v>8</v>
      </c>
      <c r="M41" s="127">
        <f t="shared" si="4"/>
        <v>41</v>
      </c>
    </row>
    <row r="42" spans="3:13" x14ac:dyDescent="0.3">
      <c r="C42" s="38" t="s">
        <v>44</v>
      </c>
      <c r="D42" s="126">
        <v>1</v>
      </c>
      <c r="E42" s="126"/>
      <c r="F42" s="126"/>
      <c r="G42" s="126"/>
      <c r="H42" s="127"/>
      <c r="I42" s="127"/>
      <c r="J42" s="126"/>
      <c r="K42" s="126">
        <v>1</v>
      </c>
      <c r="L42" s="127"/>
      <c r="M42" s="127">
        <f t="shared" si="4"/>
        <v>2</v>
      </c>
    </row>
    <row r="43" spans="3:13" x14ac:dyDescent="0.3">
      <c r="C43" s="37" t="s">
        <v>45</v>
      </c>
      <c r="D43" s="126">
        <v>2</v>
      </c>
      <c r="E43" s="126"/>
      <c r="F43" s="127">
        <v>5</v>
      </c>
      <c r="G43" s="127">
        <v>3</v>
      </c>
      <c r="H43" s="127">
        <v>19</v>
      </c>
      <c r="I43" s="127">
        <v>1</v>
      </c>
      <c r="J43" s="127">
        <v>14</v>
      </c>
      <c r="K43" s="127">
        <v>27</v>
      </c>
      <c r="L43" s="127">
        <v>5</v>
      </c>
      <c r="M43" s="127">
        <f t="shared" si="4"/>
        <v>76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3">
      <c r="C48" s="37" t="s">
        <v>50</v>
      </c>
      <c r="D48" s="127">
        <v>9</v>
      </c>
      <c r="E48" s="127">
        <v>8</v>
      </c>
      <c r="F48" s="127">
        <v>12</v>
      </c>
      <c r="G48" s="127">
        <v>17</v>
      </c>
      <c r="H48" s="127">
        <v>21</v>
      </c>
      <c r="I48" s="127">
        <v>5</v>
      </c>
      <c r="J48" s="127">
        <v>7</v>
      </c>
      <c r="K48" s="127">
        <v>36</v>
      </c>
      <c r="L48" s="127">
        <v>12</v>
      </c>
      <c r="M48" s="127">
        <f t="shared" si="4"/>
        <v>127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3">
      <c r="C51" s="38" t="s">
        <v>53</v>
      </c>
      <c r="D51" s="127">
        <v>1</v>
      </c>
      <c r="E51" s="126"/>
      <c r="F51" s="127">
        <v>1</v>
      </c>
      <c r="G51" s="127">
        <v>1</v>
      </c>
      <c r="H51" s="127"/>
      <c r="I51" s="127"/>
      <c r="J51" s="127"/>
      <c r="K51" s="127">
        <v>4</v>
      </c>
      <c r="L51" s="127"/>
      <c r="M51" s="127">
        <f t="shared" si="4"/>
        <v>7</v>
      </c>
    </row>
    <row r="52" spans="2:14" x14ac:dyDescent="0.3">
      <c r="C52" s="38" t="s">
        <v>54</v>
      </c>
      <c r="D52" s="127">
        <v>1</v>
      </c>
      <c r="E52" s="126"/>
      <c r="F52" s="127"/>
      <c r="G52" s="127">
        <v>1</v>
      </c>
      <c r="H52" s="127">
        <v>2</v>
      </c>
      <c r="I52" s="127"/>
      <c r="J52" s="127"/>
      <c r="K52" s="127">
        <v>5</v>
      </c>
      <c r="L52" s="127"/>
      <c r="M52" s="127">
        <f t="shared" si="4"/>
        <v>9</v>
      </c>
    </row>
    <row r="53" spans="2:14" x14ac:dyDescent="0.3">
      <c r="C53" s="38" t="s">
        <v>167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3">
      <c r="C54" s="38" t="s">
        <v>55</v>
      </c>
      <c r="D54" s="127">
        <v>3</v>
      </c>
      <c r="E54" s="126">
        <v>3</v>
      </c>
      <c r="F54" s="127">
        <v>3</v>
      </c>
      <c r="G54" s="127">
        <v>12</v>
      </c>
      <c r="H54" s="127">
        <v>9</v>
      </c>
      <c r="I54" s="127">
        <v>3</v>
      </c>
      <c r="J54" s="127"/>
      <c r="K54" s="127">
        <v>36</v>
      </c>
      <c r="L54" s="127">
        <v>8</v>
      </c>
      <c r="M54" s="127">
        <f t="shared" si="4"/>
        <v>77</v>
      </c>
    </row>
    <row r="55" spans="2:14" x14ac:dyDescent="0.3">
      <c r="C55" s="38" t="s">
        <v>56</v>
      </c>
      <c r="D55" s="126"/>
      <c r="E55" s="126">
        <v>2</v>
      </c>
      <c r="F55" s="126">
        <v>1</v>
      </c>
      <c r="G55" s="127">
        <v>4</v>
      </c>
      <c r="H55" s="126">
        <v>1</v>
      </c>
      <c r="I55" s="127"/>
      <c r="J55" s="127"/>
      <c r="K55" s="127">
        <v>7</v>
      </c>
      <c r="L55" s="127">
        <v>3</v>
      </c>
      <c r="M55" s="127">
        <f t="shared" si="4"/>
        <v>18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>
        <v>1</v>
      </c>
      <c r="K56" s="127"/>
      <c r="L56" s="127"/>
      <c r="M56" s="127">
        <f t="shared" si="4"/>
        <v>1</v>
      </c>
    </row>
    <row r="57" spans="2:14" x14ac:dyDescent="0.3">
      <c r="C57" s="247" t="s">
        <v>58</v>
      </c>
      <c r="D57" s="126"/>
      <c r="E57" s="126">
        <v>2</v>
      </c>
      <c r="F57" s="126"/>
      <c r="G57" s="127"/>
      <c r="H57" s="126"/>
      <c r="I57" s="127"/>
      <c r="J57" s="126"/>
      <c r="K57" s="126">
        <v>1</v>
      </c>
      <c r="L57" s="127"/>
      <c r="M57" s="127">
        <f t="shared" si="4"/>
        <v>3</v>
      </c>
    </row>
    <row r="58" spans="2:14" ht="15" thickBot="1" x14ac:dyDescent="0.35">
      <c r="C58" s="215" t="s">
        <v>59</v>
      </c>
      <c r="D58" s="145"/>
      <c r="E58" s="128"/>
      <c r="F58" s="128"/>
      <c r="G58" s="128">
        <v>2</v>
      </c>
      <c r="H58" s="128">
        <v>2</v>
      </c>
      <c r="I58" s="128">
        <v>3</v>
      </c>
      <c r="J58" s="128">
        <v>4</v>
      </c>
      <c r="K58" s="128">
        <v>9</v>
      </c>
      <c r="L58" s="128"/>
      <c r="M58" s="127">
        <f t="shared" si="4"/>
        <v>20</v>
      </c>
    </row>
    <row r="59" spans="2:14" ht="15" thickTop="1" x14ac:dyDescent="0.3">
      <c r="C59" s="36" t="s">
        <v>29</v>
      </c>
      <c r="D59" s="143">
        <f t="shared" ref="D59:L59" si="5">SUM(D31:D58)</f>
        <v>29</v>
      </c>
      <c r="E59" s="143">
        <f>SUM(E31:E58)</f>
        <v>18</v>
      </c>
      <c r="F59" s="143">
        <f t="shared" si="5"/>
        <v>37</v>
      </c>
      <c r="G59" s="143">
        <f t="shared" si="5"/>
        <v>58</v>
      </c>
      <c r="H59" s="143">
        <f t="shared" si="5"/>
        <v>65</v>
      </c>
      <c r="I59" s="143">
        <f t="shared" si="5"/>
        <v>22</v>
      </c>
      <c r="J59" s="143">
        <f t="shared" si="5"/>
        <v>30</v>
      </c>
      <c r="K59" s="143">
        <f t="shared" si="5"/>
        <v>185</v>
      </c>
      <c r="L59" s="143">
        <f t="shared" si="5"/>
        <v>48</v>
      </c>
      <c r="M59" s="127">
        <f t="shared" si="4"/>
        <v>492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3398</v>
      </c>
      <c r="E64" s="125">
        <v>79</v>
      </c>
      <c r="F64" s="330">
        <v>12262</v>
      </c>
      <c r="G64" s="125">
        <v>12010</v>
      </c>
      <c r="H64" s="125">
        <v>9063</v>
      </c>
      <c r="I64" s="125">
        <v>103</v>
      </c>
      <c r="J64" s="125">
        <v>57</v>
      </c>
      <c r="K64" s="125">
        <v>11405</v>
      </c>
      <c r="L64" s="125">
        <v>1830</v>
      </c>
      <c r="M64" s="21">
        <f>SUM(D64:L64)</f>
        <v>50207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26" t="s">
        <v>60</v>
      </c>
      <c r="E67" s="427"/>
      <c r="F67" s="239" t="s">
        <v>26</v>
      </c>
      <c r="G67" s="229"/>
      <c r="H67" s="427" t="s">
        <v>61</v>
      </c>
      <c r="I67" s="427"/>
      <c r="J67" s="427"/>
      <c r="K67" s="427" t="s">
        <v>62</v>
      </c>
      <c r="L67" s="427"/>
      <c r="M67" s="427"/>
      <c r="N67" s="240" t="s">
        <v>12</v>
      </c>
    </row>
    <row r="68" spans="2:14" x14ac:dyDescent="0.3">
      <c r="B68" s="235"/>
      <c r="C68" s="23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238" t="s">
        <v>72</v>
      </c>
      <c r="M68" s="187" t="s">
        <v>144</v>
      </c>
      <c r="N68" s="16"/>
    </row>
    <row r="69" spans="2:14" x14ac:dyDescent="0.3">
      <c r="B69" s="236" t="s">
        <v>73</v>
      </c>
      <c r="C69" s="241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36" t="s">
        <v>75</v>
      </c>
      <c r="C70" s="136">
        <v>43815</v>
      </c>
      <c r="D70" s="129">
        <f>48+39+19+21</f>
        <v>127</v>
      </c>
      <c r="E70" s="129">
        <v>969</v>
      </c>
      <c r="F70" s="135">
        <f>35+13+8+75+5+30+67+1</f>
        <v>234</v>
      </c>
      <c r="G70" s="135">
        <f>37+3+11+3+5+4+5+2+18+16+11+4+58+3+4+2+9+3+11+2+6+19+14+4+8+15+9+5+1+6+1+10+4+8+3+14+5+1+1+2+3</f>
        <v>350</v>
      </c>
      <c r="H70" s="129">
        <v>52</v>
      </c>
      <c r="I70" s="135">
        <f>21+185+4787</f>
        <v>4993</v>
      </c>
      <c r="J70" s="135">
        <v>13</v>
      </c>
      <c r="K70" s="129">
        <v>17</v>
      </c>
      <c r="L70" s="135">
        <v>239</v>
      </c>
      <c r="M70" s="129">
        <f>N72+N73</f>
        <v>6101</v>
      </c>
      <c r="N70" s="130">
        <f>SUM(C70:M70)</f>
        <v>56910</v>
      </c>
    </row>
    <row r="71" spans="2:14" x14ac:dyDescent="0.3">
      <c r="B71" s="170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5922</v>
      </c>
    </row>
    <row r="73" spans="2:14" x14ac:dyDescent="0.3">
      <c r="B73" s="10"/>
      <c r="C73" s="6" t="s">
        <v>264</v>
      </c>
      <c r="D73" s="49"/>
      <c r="E73" s="8">
        <v>213</v>
      </c>
      <c r="F73" s="10"/>
      <c r="G73" s="10"/>
      <c r="H73" s="12"/>
      <c r="I73" s="10"/>
      <c r="K73" s="10"/>
      <c r="L73" s="10" t="s">
        <v>147</v>
      </c>
      <c r="M73" s="10"/>
      <c r="N73">
        <v>179</v>
      </c>
    </row>
    <row r="74" spans="2:14" x14ac:dyDescent="0.3">
      <c r="C74" s="42" t="s">
        <v>79</v>
      </c>
      <c r="D74" s="242"/>
      <c r="E74" s="31">
        <v>386</v>
      </c>
      <c r="I74" s="10"/>
      <c r="K74" s="10"/>
      <c r="L74" s="10"/>
      <c r="M74" s="10"/>
    </row>
    <row r="75" spans="2:14" x14ac:dyDescent="0.3">
      <c r="C75" s="44" t="s">
        <v>82</v>
      </c>
      <c r="D75" s="243"/>
      <c r="E75" s="16">
        <v>131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244" t="s">
        <v>117</v>
      </c>
      <c r="D77" s="186"/>
      <c r="E77" s="10"/>
      <c r="I77" s="10"/>
    </row>
    <row r="78" spans="2:14" x14ac:dyDescent="0.3">
      <c r="C78" s="51" t="s">
        <v>118</v>
      </c>
      <c r="D78" s="166">
        <v>1397</v>
      </c>
      <c r="E78" s="10"/>
      <c r="I78" s="10"/>
    </row>
    <row r="79" spans="2:14" x14ac:dyDescent="0.3">
      <c r="C79" s="53" t="s">
        <v>108</v>
      </c>
      <c r="D79" s="56">
        <v>535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206" t="s">
        <v>77</v>
      </c>
      <c r="D81" s="245"/>
      <c r="E81" s="8">
        <v>2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246"/>
      <c r="E82" s="46">
        <v>2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3"/>
      <c r="F84" s="27">
        <v>0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243"/>
      <c r="F85" s="16">
        <v>0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203" t="s">
        <v>179</v>
      </c>
      <c r="D89" s="126">
        <v>33</v>
      </c>
      <c r="E89" s="126">
        <v>19</v>
      </c>
      <c r="F89" s="126">
        <v>136</v>
      </c>
      <c r="G89" s="167">
        <v>477</v>
      </c>
      <c r="H89" s="167">
        <v>33</v>
      </c>
      <c r="I89" s="167">
        <v>0</v>
      </c>
      <c r="J89" s="167">
        <v>0</v>
      </c>
      <c r="K89" s="167">
        <v>178</v>
      </c>
      <c r="L89" s="167">
        <v>6</v>
      </c>
      <c r="M89" s="168" t="s">
        <v>126</v>
      </c>
      <c r="N89" s="119">
        <f>SUM(D89:M89)</f>
        <v>882</v>
      </c>
    </row>
    <row r="90" spans="2:14" x14ac:dyDescent="0.3">
      <c r="B90" s="9"/>
      <c r="C90" s="12" t="s">
        <v>13</v>
      </c>
      <c r="D90" s="126">
        <v>5</v>
      </c>
      <c r="E90" s="126">
        <v>0</v>
      </c>
      <c r="F90" s="126">
        <v>9</v>
      </c>
      <c r="G90" s="167">
        <v>59</v>
      </c>
      <c r="H90" s="167">
        <v>7</v>
      </c>
      <c r="I90" s="167">
        <v>0</v>
      </c>
      <c r="J90" s="167">
        <v>0</v>
      </c>
      <c r="K90" s="167">
        <v>31</v>
      </c>
      <c r="L90" s="167">
        <v>0</v>
      </c>
      <c r="M90" s="167">
        <v>5</v>
      </c>
      <c r="N90" s="119">
        <f>SUM(D90:M90)</f>
        <v>116</v>
      </c>
    </row>
    <row r="91" spans="2:14" ht="15" thickBot="1" x14ac:dyDescent="0.35">
      <c r="B91" s="9"/>
      <c r="C91" s="12" t="s">
        <v>14</v>
      </c>
      <c r="D91" s="128">
        <v>0</v>
      </c>
      <c r="E91" s="128">
        <v>0</v>
      </c>
      <c r="F91" s="128">
        <v>0</v>
      </c>
      <c r="G91" s="128">
        <v>30</v>
      </c>
      <c r="H91" s="128">
        <v>45</v>
      </c>
      <c r="I91" s="128">
        <v>0</v>
      </c>
      <c r="J91" s="128">
        <v>0</v>
      </c>
      <c r="K91" s="128">
        <v>84</v>
      </c>
      <c r="L91" s="128">
        <v>11</v>
      </c>
      <c r="M91" s="169" t="s">
        <v>126</v>
      </c>
      <c r="N91" s="120">
        <f>SUM(D91:M91)</f>
        <v>170</v>
      </c>
    </row>
    <row r="92" spans="2:14" ht="15" thickTop="1" x14ac:dyDescent="0.3">
      <c r="B92" s="13"/>
      <c r="C92" s="14" t="s">
        <v>12</v>
      </c>
      <c r="D92" s="143">
        <f>SUM(D89:D91)</f>
        <v>38</v>
      </c>
      <c r="E92" s="143">
        <f t="shared" ref="E92:L92" si="6">SUM(E89,E91)</f>
        <v>19</v>
      </c>
      <c r="F92" s="143">
        <f t="shared" si="6"/>
        <v>136</v>
      </c>
      <c r="G92" s="143">
        <f t="shared" si="6"/>
        <v>507</v>
      </c>
      <c r="H92" s="143">
        <f t="shared" si="6"/>
        <v>78</v>
      </c>
      <c r="I92" s="143">
        <f t="shared" si="6"/>
        <v>0</v>
      </c>
      <c r="J92" s="143">
        <f t="shared" si="6"/>
        <v>0</v>
      </c>
      <c r="K92" s="143">
        <f t="shared" si="6"/>
        <v>262</v>
      </c>
      <c r="L92" s="143">
        <f t="shared" si="6"/>
        <v>17</v>
      </c>
      <c r="M92" s="143">
        <f>SUM(M89:M91)</f>
        <v>5</v>
      </c>
      <c r="N92" s="170">
        <f>SUM(N89,N91)</f>
        <v>1052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2</v>
      </c>
      <c r="E95" s="126">
        <v>2</v>
      </c>
      <c r="F95" s="126">
        <v>11</v>
      </c>
      <c r="G95" s="150">
        <v>22</v>
      </c>
      <c r="H95" s="150">
        <v>5</v>
      </c>
      <c r="I95" s="150">
        <v>0</v>
      </c>
      <c r="J95" s="150">
        <v>0</v>
      </c>
      <c r="K95" s="150">
        <v>14</v>
      </c>
      <c r="L95" s="150">
        <v>2</v>
      </c>
      <c r="M95" s="150">
        <f>SUM(D95:L95)</f>
        <v>58</v>
      </c>
      <c r="N95" s="10"/>
    </row>
    <row r="96" spans="2:14" ht="15" thickBot="1" x14ac:dyDescent="0.35">
      <c r="B96" s="417" t="s">
        <v>177</v>
      </c>
      <c r="C96" s="418"/>
      <c r="D96" s="128">
        <v>0</v>
      </c>
      <c r="E96" s="128">
        <v>0</v>
      </c>
      <c r="F96" s="128">
        <v>0</v>
      </c>
      <c r="G96" s="174">
        <v>39</v>
      </c>
      <c r="H96" s="174">
        <v>1</v>
      </c>
      <c r="I96" s="174">
        <v>14</v>
      </c>
      <c r="J96" s="174">
        <v>0</v>
      </c>
      <c r="K96" s="174">
        <v>26</v>
      </c>
      <c r="L96" s="174">
        <v>1</v>
      </c>
      <c r="M96" s="150">
        <f t="shared" ref="M96:M97" si="7">SUM(D96:L96)</f>
        <v>81</v>
      </c>
      <c r="N96" s="10"/>
    </row>
    <row r="97" spans="1:15" ht="15" thickTop="1" x14ac:dyDescent="0.3">
      <c r="B97" s="28"/>
      <c r="C97" s="190" t="s">
        <v>29</v>
      </c>
      <c r="D97" s="171">
        <f t="shared" ref="D97:L97" si="8">SUM(D95:D96)</f>
        <v>2</v>
      </c>
      <c r="E97" s="171">
        <f t="shared" si="8"/>
        <v>2</v>
      </c>
      <c r="F97" s="171">
        <f t="shared" si="8"/>
        <v>11</v>
      </c>
      <c r="G97" s="171">
        <f t="shared" si="8"/>
        <v>61</v>
      </c>
      <c r="H97" s="171">
        <f t="shared" si="8"/>
        <v>6</v>
      </c>
      <c r="I97" s="172">
        <f t="shared" si="8"/>
        <v>14</v>
      </c>
      <c r="J97" s="171">
        <f t="shared" si="8"/>
        <v>0</v>
      </c>
      <c r="K97" s="171">
        <f t="shared" si="8"/>
        <v>40</v>
      </c>
      <c r="L97" s="171">
        <f t="shared" si="8"/>
        <v>3</v>
      </c>
      <c r="M97" s="150">
        <f t="shared" si="7"/>
        <v>139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43">
        <v>0</v>
      </c>
      <c r="E99" s="143">
        <v>0</v>
      </c>
      <c r="F99" s="143">
        <v>0</v>
      </c>
      <c r="G99" s="151">
        <v>5</v>
      </c>
      <c r="H99" s="151">
        <v>0</v>
      </c>
      <c r="I99" s="151">
        <v>0</v>
      </c>
      <c r="J99" s="151">
        <v>0</v>
      </c>
      <c r="K99" s="151">
        <v>55</v>
      </c>
      <c r="L99" s="151">
        <v>0</v>
      </c>
      <c r="M99" s="151">
        <f>SUM(D99:L99)</f>
        <v>60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419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420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421"/>
      <c r="N103" s="176" t="s">
        <v>12</v>
      </c>
    </row>
    <row r="104" spans="1:15" x14ac:dyDescent="0.3">
      <c r="B104" s="374" t="s">
        <v>23</v>
      </c>
      <c r="C104" s="375"/>
      <c r="D104" s="131">
        <v>14</v>
      </c>
      <c r="E104" s="131">
        <v>13</v>
      </c>
      <c r="F104" s="131">
        <v>11.5</v>
      </c>
      <c r="G104" s="131">
        <v>71.5</v>
      </c>
      <c r="H104" s="131">
        <v>28</v>
      </c>
      <c r="I104" s="131">
        <v>0</v>
      </c>
      <c r="J104" s="131">
        <v>0</v>
      </c>
      <c r="K104" s="131">
        <v>27.75</v>
      </c>
      <c r="L104" s="131">
        <v>0</v>
      </c>
      <c r="M104" s="132">
        <v>0</v>
      </c>
      <c r="N104" s="133">
        <f>SUM(D104:M104)</f>
        <v>165.75</v>
      </c>
    </row>
    <row r="105" spans="1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225" t="s">
        <v>85</v>
      </c>
      <c r="D106" s="20"/>
      <c r="E106" s="186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30">
        <v>624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30">
        <v>122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30">
        <v>12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30">
        <v>3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6">
        <v>0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19" t="s">
        <v>101</v>
      </c>
      <c r="D113" s="20"/>
      <c r="E113" s="20"/>
      <c r="F113" s="186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8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11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0</v>
      </c>
    </row>
    <row r="117" spans="2:14" x14ac:dyDescent="0.3">
      <c r="B117" s="12"/>
      <c r="C117" s="23"/>
      <c r="D117" s="10"/>
      <c r="E117" s="10"/>
    </row>
    <row r="118" spans="2:14" x14ac:dyDescent="0.3">
      <c r="C118" s="19" t="s">
        <v>84</v>
      </c>
      <c r="D118" s="20"/>
      <c r="E118" s="186"/>
    </row>
    <row r="119" spans="2:14" x14ac:dyDescent="0.3">
      <c r="C119" s="9" t="s">
        <v>21</v>
      </c>
      <c r="D119" s="10"/>
      <c r="E119" s="137">
        <f>290+45</f>
        <v>335</v>
      </c>
    </row>
    <row r="120" spans="2:14" x14ac:dyDescent="0.3">
      <c r="C120" s="9" t="s">
        <v>20</v>
      </c>
      <c r="D120" s="10"/>
      <c r="E120" s="137">
        <f>139+53</f>
        <v>192</v>
      </c>
    </row>
    <row r="121" spans="2:14" x14ac:dyDescent="0.3">
      <c r="C121" s="9" t="s">
        <v>19</v>
      </c>
      <c r="D121" s="10"/>
      <c r="E121" s="137">
        <v>20</v>
      </c>
    </row>
    <row r="122" spans="2:14" x14ac:dyDescent="0.3">
      <c r="C122" s="9" t="s">
        <v>93</v>
      </c>
      <c r="D122" s="10"/>
      <c r="E122" s="137">
        <f>370+9</f>
        <v>379</v>
      </c>
    </row>
    <row r="123" spans="2:14" x14ac:dyDescent="0.3">
      <c r="C123" s="13" t="s">
        <v>96</v>
      </c>
      <c r="D123" s="15"/>
      <c r="E123" s="138">
        <v>0</v>
      </c>
    </row>
    <row r="125" spans="2:14" x14ac:dyDescent="0.3">
      <c r="C125" s="19" t="s">
        <v>83</v>
      </c>
      <c r="D125" s="226"/>
      <c r="E125" s="227"/>
    </row>
    <row r="126" spans="2:14" x14ac:dyDescent="0.3">
      <c r="C126" s="50" t="s">
        <v>86</v>
      </c>
      <c r="D126" s="10"/>
      <c r="E126" s="137">
        <v>4</v>
      </c>
    </row>
    <row r="127" spans="2:14" x14ac:dyDescent="0.3">
      <c r="C127" s="51" t="s">
        <v>88</v>
      </c>
      <c r="D127" s="10"/>
      <c r="E127" s="137">
        <v>3</v>
      </c>
    </row>
    <row r="128" spans="2:14" x14ac:dyDescent="0.3">
      <c r="C128" s="51" t="s">
        <v>90</v>
      </c>
      <c r="D128" s="10"/>
      <c r="E128" s="137">
        <v>23</v>
      </c>
    </row>
    <row r="129" spans="3:15" x14ac:dyDescent="0.3">
      <c r="C129" s="51" t="s">
        <v>92</v>
      </c>
      <c r="D129" s="12"/>
      <c r="E129" s="137">
        <f>707+57+1</f>
        <v>765</v>
      </c>
    </row>
    <row r="130" spans="3:15" x14ac:dyDescent="0.3">
      <c r="C130" s="51" t="s">
        <v>95</v>
      </c>
      <c r="D130" s="12"/>
      <c r="E130" s="137">
        <f>30+1+21+5+1</f>
        <v>58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37">
        <v>7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37">
        <v>10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218" t="s">
        <v>100</v>
      </c>
      <c r="D133" s="10"/>
      <c r="E133" s="137">
        <v>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37">
        <v>0</v>
      </c>
    </row>
    <row r="137" spans="3:15" x14ac:dyDescent="0.3">
      <c r="C137" s="50" t="s">
        <v>25</v>
      </c>
      <c r="D137" s="10"/>
      <c r="E137" s="139">
        <v>3</v>
      </c>
    </row>
    <row r="138" spans="3:15" x14ac:dyDescent="0.3">
      <c r="C138" s="50" t="s">
        <v>149</v>
      </c>
      <c r="D138" s="10"/>
      <c r="E138" s="139">
        <v>0</v>
      </c>
    </row>
    <row r="139" spans="3:15" x14ac:dyDescent="0.3">
      <c r="C139" s="52" t="s">
        <v>26</v>
      </c>
      <c r="D139" s="15"/>
      <c r="E139" s="138">
        <f>163+54+161</f>
        <v>378</v>
      </c>
    </row>
    <row r="140" spans="3:15" x14ac:dyDescent="0.3">
      <c r="E140" s="57"/>
      <c r="F140" s="57"/>
    </row>
    <row r="141" spans="3:15" x14ac:dyDescent="0.3">
      <c r="C141" s="19" t="s">
        <v>119</v>
      </c>
      <c r="D141" s="20"/>
      <c r="E141" s="228"/>
      <c r="F141" s="228"/>
      <c r="G141" s="2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224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6">
        <v>2</v>
      </c>
      <c r="F144" s="126">
        <v>0</v>
      </c>
      <c r="G144" s="157">
        <f>SUM(E144:F144)</f>
        <v>2</v>
      </c>
    </row>
    <row r="145" spans="2:14" x14ac:dyDescent="0.3">
      <c r="C145" s="199" t="s">
        <v>13</v>
      </c>
      <c r="D145" s="163"/>
      <c r="E145" s="126">
        <v>0</v>
      </c>
      <c r="F145" s="126" t="s">
        <v>126</v>
      </c>
      <c r="G145" s="157">
        <f t="shared" ref="G145:G148" si="9">SUM(E145:F145)</f>
        <v>0</v>
      </c>
    </row>
    <row r="146" spans="2:14" x14ac:dyDescent="0.3">
      <c r="C146" s="199" t="s">
        <v>122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3">
      <c r="C147" s="158" t="s">
        <v>124</v>
      </c>
      <c r="D147" s="162"/>
      <c r="E147" s="127">
        <v>14</v>
      </c>
      <c r="F147" s="127">
        <v>0</v>
      </c>
      <c r="G147" s="157">
        <f t="shared" si="9"/>
        <v>14</v>
      </c>
      <c r="L147" s="10"/>
      <c r="M147" s="29"/>
    </row>
    <row r="148" spans="2:14" x14ac:dyDescent="0.3">
      <c r="C148" s="159" t="s">
        <v>13</v>
      </c>
      <c r="D148" s="158"/>
      <c r="E148" s="127">
        <v>2</v>
      </c>
      <c r="F148" s="127" t="s">
        <v>126</v>
      </c>
      <c r="G148" s="157">
        <f t="shared" si="9"/>
        <v>2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42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213" t="s">
        <v>153</v>
      </c>
    </row>
    <row r="152" spans="2:14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28.5" customHeight="1" x14ac:dyDescent="0.3">
      <c r="B153" s="399"/>
      <c r="C153" s="400"/>
      <c r="D153" s="385"/>
      <c r="E153" s="386"/>
      <c r="F153" s="106"/>
    </row>
    <row r="154" spans="2:14" ht="30" customHeight="1" x14ac:dyDescent="0.3">
      <c r="B154" s="372" t="s">
        <v>169</v>
      </c>
      <c r="C154" s="373"/>
      <c r="D154" s="370">
        <v>130</v>
      </c>
      <c r="E154" s="371"/>
      <c r="F154" s="107"/>
    </row>
    <row r="155" spans="2:14" ht="25.5" customHeight="1" x14ac:dyDescent="0.3">
      <c r="B155" s="412" t="s">
        <v>183</v>
      </c>
      <c r="C155" s="413"/>
      <c r="D155" s="370">
        <v>408</v>
      </c>
      <c r="E155" s="371"/>
      <c r="F155" s="107"/>
    </row>
    <row r="156" spans="2:14" x14ac:dyDescent="0.3">
      <c r="B156" s="372" t="s">
        <v>154</v>
      </c>
      <c r="C156" s="373"/>
      <c r="D156" s="370">
        <v>1485</v>
      </c>
      <c r="E156" s="371"/>
      <c r="F156" s="107"/>
    </row>
    <row r="157" spans="2:14" x14ac:dyDescent="0.3">
      <c r="B157" s="372" t="s">
        <v>155</v>
      </c>
      <c r="C157" s="373"/>
      <c r="D157" s="370">
        <v>29</v>
      </c>
      <c r="E157" s="371"/>
      <c r="F157" s="107"/>
    </row>
    <row r="158" spans="2:14" x14ac:dyDescent="0.3">
      <c r="B158" s="372" t="s">
        <v>156</v>
      </c>
      <c r="C158" s="373"/>
      <c r="D158" s="370">
        <v>1640</v>
      </c>
      <c r="E158" s="371"/>
      <c r="F158" s="107"/>
    </row>
    <row r="159" spans="2:14" x14ac:dyDescent="0.3">
      <c r="B159" s="372" t="s">
        <v>123</v>
      </c>
      <c r="C159" s="373"/>
      <c r="D159" s="370">
        <v>79</v>
      </c>
      <c r="E159" s="371"/>
      <c r="F159" s="107"/>
    </row>
    <row r="160" spans="2:14" x14ac:dyDescent="0.3">
      <c r="B160" s="372" t="s">
        <v>125</v>
      </c>
      <c r="C160" s="373"/>
      <c r="D160" s="370">
        <v>12</v>
      </c>
      <c r="E160" s="371"/>
      <c r="F160" s="107"/>
    </row>
    <row r="161" spans="2:15" x14ac:dyDescent="0.3">
      <c r="B161" s="372" t="s">
        <v>110</v>
      </c>
      <c r="C161" s="373"/>
      <c r="D161" s="370">
        <v>11</v>
      </c>
      <c r="E161" s="371"/>
      <c r="F161" s="107">
        <v>17</v>
      </c>
    </row>
    <row r="162" spans="2:15" x14ac:dyDescent="0.3">
      <c r="B162" s="372" t="s">
        <v>157</v>
      </c>
      <c r="C162" s="373"/>
      <c r="D162" s="370">
        <v>125</v>
      </c>
      <c r="E162" s="371"/>
      <c r="F162" s="107"/>
    </row>
    <row r="163" spans="2:15" ht="30" customHeight="1" x14ac:dyDescent="0.3">
      <c r="B163" s="372" t="s">
        <v>128</v>
      </c>
      <c r="C163" s="373"/>
      <c r="D163" s="370">
        <v>3</v>
      </c>
      <c r="E163" s="371"/>
      <c r="F163" s="107"/>
    </row>
    <row r="164" spans="2:15" ht="44.25" customHeight="1" x14ac:dyDescent="0.3">
      <c r="B164" s="395" t="s">
        <v>158</v>
      </c>
      <c r="C164" s="396"/>
      <c r="D164" s="353">
        <v>153</v>
      </c>
      <c r="E164" s="354"/>
      <c r="F164" s="108"/>
    </row>
    <row r="165" spans="2:15" ht="42.75" customHeight="1" x14ac:dyDescent="0.3">
      <c r="B165" s="395" t="s">
        <v>159</v>
      </c>
      <c r="C165" s="396"/>
      <c r="D165" s="353">
        <v>2540</v>
      </c>
      <c r="E165" s="354"/>
      <c r="F165" s="108"/>
    </row>
    <row r="166" spans="2:15" ht="28.5" customHeight="1" x14ac:dyDescent="0.3">
      <c r="B166" s="397" t="s">
        <v>160</v>
      </c>
      <c r="C166" s="398"/>
      <c r="D166" s="355">
        <v>13</v>
      </c>
      <c r="E166" s="356"/>
      <c r="F166" s="109"/>
    </row>
    <row r="167" spans="2:15" ht="28.5" customHeight="1" x14ac:dyDescent="0.3">
      <c r="B167" s="387" t="s">
        <v>161</v>
      </c>
      <c r="C167" s="388"/>
      <c r="D167" s="357">
        <v>11</v>
      </c>
      <c r="E167" s="358"/>
      <c r="F167" s="110"/>
    </row>
    <row r="168" spans="2:15" ht="30" customHeight="1" x14ac:dyDescent="0.3">
      <c r="B168" s="387" t="s">
        <v>162</v>
      </c>
      <c r="C168" s="388"/>
      <c r="D168" s="357">
        <v>74</v>
      </c>
      <c r="E168" s="358"/>
      <c r="F168" s="110"/>
    </row>
    <row r="169" spans="2:15" ht="29.25" customHeight="1" x14ac:dyDescent="0.3">
      <c r="B169" s="389" t="s">
        <v>163</v>
      </c>
      <c r="C169" s="390"/>
      <c r="D169" s="359">
        <v>766</v>
      </c>
      <c r="E169" s="360"/>
      <c r="F169" s="111"/>
    </row>
    <row r="170" spans="2:15" x14ac:dyDescent="0.3">
      <c r="B170" s="391"/>
      <c r="C170" s="392"/>
      <c r="D170" s="347"/>
      <c r="E170" s="348"/>
      <c r="F170" s="112"/>
      <c r="L170" s="18"/>
      <c r="M170" s="17"/>
    </row>
    <row r="171" spans="2:15" x14ac:dyDescent="0.3">
      <c r="B171" s="393" t="s">
        <v>127</v>
      </c>
      <c r="C171" s="394"/>
      <c r="D171" s="349">
        <v>17</v>
      </c>
      <c r="E171" s="350"/>
      <c r="F171" s="113"/>
      <c r="K171" s="29"/>
    </row>
    <row r="172" spans="2:15" x14ac:dyDescent="0.3">
      <c r="B172" s="381" t="s">
        <v>164</v>
      </c>
      <c r="C172" s="382"/>
      <c r="D172" s="351">
        <v>119</v>
      </c>
      <c r="E172" s="352"/>
      <c r="F172" s="114"/>
      <c r="K172" s="17"/>
    </row>
    <row r="173" spans="2:15" x14ac:dyDescent="0.3">
      <c r="B173" s="381" t="s">
        <v>116</v>
      </c>
      <c r="C173" s="382"/>
      <c r="D173" s="351"/>
      <c r="E173" s="352"/>
      <c r="F173" s="114">
        <v>62</v>
      </c>
    </row>
    <row r="174" spans="2:15" ht="15" thickBot="1" x14ac:dyDescent="0.35">
      <c r="B174" s="383" t="s">
        <v>165</v>
      </c>
      <c r="C174" s="384"/>
      <c r="D174" s="424"/>
      <c r="E174" s="425"/>
      <c r="F174" s="251"/>
      <c r="G174" t="s">
        <v>220</v>
      </c>
    </row>
    <row r="175" spans="2:15" ht="46.5" customHeight="1" thickTop="1" x14ac:dyDescent="0.3">
      <c r="B175" s="428" t="s">
        <v>187</v>
      </c>
      <c r="C175" s="429"/>
      <c r="D175" s="430">
        <f>SUM(D153:D174)</f>
        <v>7615</v>
      </c>
      <c r="E175" s="431"/>
      <c r="F175" s="250">
        <f>SUM(F152:F174)</f>
        <v>79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2:14" x14ac:dyDescent="0.3">
      <c r="C177" s="205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50">
        <f>D161</f>
        <v>11</v>
      </c>
      <c r="F178" s="414">
        <f>F161</f>
        <v>17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f>1640</f>
        <v>1640</v>
      </c>
      <c r="F181" s="126"/>
      <c r="I181" s="29" t="s">
        <v>188</v>
      </c>
      <c r="J181" s="29"/>
      <c r="K181" s="54"/>
      <c r="L181" s="54"/>
      <c r="M181" s="58"/>
    </row>
    <row r="182" spans="2:14" x14ac:dyDescent="0.3">
      <c r="C182" s="415" t="s">
        <v>114</v>
      </c>
      <c r="D182" s="416"/>
      <c r="E182" s="126">
        <v>1485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119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v>48</v>
      </c>
      <c r="E187" s="143">
        <v>28</v>
      </c>
      <c r="F187" s="143">
        <v>263</v>
      </c>
      <c r="G187" s="177">
        <v>207</v>
      </c>
      <c r="H187" s="177">
        <v>126</v>
      </c>
      <c r="I187" s="177">
        <v>0</v>
      </c>
      <c r="J187" s="177">
        <v>69</v>
      </c>
      <c r="K187" s="177">
        <v>103</v>
      </c>
      <c r="L187" s="177">
        <v>164</v>
      </c>
      <c r="M187" s="177">
        <f>SUM(D187:L187)</f>
        <v>1008</v>
      </c>
    </row>
    <row r="188" spans="2:14" x14ac:dyDescent="0.3">
      <c r="C188" s="38" t="s">
        <v>21</v>
      </c>
      <c r="D188" s="126"/>
      <c r="E188" s="126"/>
      <c r="F188" s="127"/>
      <c r="G188" s="126">
        <v>62</v>
      </c>
      <c r="H188" s="126"/>
      <c r="I188" s="126"/>
      <c r="J188" s="126"/>
      <c r="K188" s="126">
        <v>150</v>
      </c>
      <c r="L188" s="126">
        <v>213</v>
      </c>
      <c r="M188" s="127">
        <f>SUM(D188:L188)</f>
        <v>425</v>
      </c>
    </row>
    <row r="189" spans="2:14" ht="15" thickBot="1" x14ac:dyDescent="0.35">
      <c r="C189" s="38" t="s">
        <v>132</v>
      </c>
      <c r="D189" s="128">
        <v>0</v>
      </c>
      <c r="E189" s="128">
        <v>0</v>
      </c>
      <c r="F189" s="128">
        <v>1</v>
      </c>
      <c r="G189" s="128">
        <v>0</v>
      </c>
      <c r="H189" s="144">
        <v>0</v>
      </c>
      <c r="I189" s="144">
        <v>0</v>
      </c>
      <c r="J189" s="128" t="s">
        <v>126</v>
      </c>
      <c r="K189" s="128">
        <v>0</v>
      </c>
      <c r="L189" s="144">
        <v>0</v>
      </c>
      <c r="M189" s="144">
        <f>SUM(D189:L189)</f>
        <v>1</v>
      </c>
    </row>
    <row r="190" spans="2:14" ht="15" thickTop="1" x14ac:dyDescent="0.3">
      <c r="C190" s="38" t="s">
        <v>12</v>
      </c>
      <c r="D190" s="143">
        <f>SUM(D187:D189)</f>
        <v>48</v>
      </c>
      <c r="E190" s="143">
        <f>SUM(E187:E189)</f>
        <v>28</v>
      </c>
      <c r="F190" s="143">
        <f t="shared" ref="F190:L190" si="10">SUM(F187:F189)</f>
        <v>264</v>
      </c>
      <c r="G190" s="143">
        <f t="shared" si="10"/>
        <v>269</v>
      </c>
      <c r="H190" s="177">
        <f t="shared" si="10"/>
        <v>126</v>
      </c>
      <c r="I190" s="143">
        <f t="shared" si="10"/>
        <v>0</v>
      </c>
      <c r="J190" s="143">
        <f t="shared" si="10"/>
        <v>69</v>
      </c>
      <c r="K190" s="143">
        <f t="shared" si="10"/>
        <v>253</v>
      </c>
      <c r="L190" s="177">
        <f t="shared" si="10"/>
        <v>377</v>
      </c>
      <c r="M190" s="177">
        <f>SUM(D190:L190)</f>
        <v>1434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5" x14ac:dyDescent="0.3">
      <c r="B193" s="104"/>
      <c r="C193" s="104"/>
      <c r="D193" s="135"/>
      <c r="E193" s="129"/>
      <c r="F193" s="135"/>
      <c r="G193" s="135"/>
      <c r="H193" s="135"/>
      <c r="I193" s="129"/>
      <c r="J193" s="129"/>
      <c r="K193" s="129"/>
      <c r="L193" s="129"/>
      <c r="M193" s="135"/>
    </row>
    <row r="194" spans="2:15" x14ac:dyDescent="0.3">
      <c r="C194" s="23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2:15" ht="17.399999999999999" x14ac:dyDescent="0.3">
      <c r="B195" s="121" t="s">
        <v>176</v>
      </c>
      <c r="C195" s="148"/>
      <c r="D195" s="55"/>
      <c r="G195" s="60"/>
      <c r="H195" s="5"/>
      <c r="I195" s="61"/>
      <c r="J195" s="61"/>
      <c r="K195" s="5"/>
    </row>
    <row r="196" spans="2:15" ht="17.399999999999999" x14ac:dyDescent="0.3">
      <c r="B196" s="62" t="s">
        <v>134</v>
      </c>
      <c r="C196" s="63"/>
      <c r="D196" s="63"/>
      <c r="E196" s="64"/>
      <c r="F196" s="64"/>
      <c r="G196" s="65"/>
      <c r="H196" s="26"/>
      <c r="I196" s="63" t="s">
        <v>135</v>
      </c>
      <c r="J196" s="66"/>
      <c r="K196" s="66"/>
      <c r="L196" s="64"/>
      <c r="M196" s="64"/>
      <c r="N196" s="64"/>
      <c r="O196" s="27"/>
    </row>
    <row r="197" spans="2:15" ht="17.399999999999999" x14ac:dyDescent="0.3">
      <c r="B197" s="68" t="s">
        <v>408</v>
      </c>
      <c r="D197" s="22"/>
      <c r="E197" s="22"/>
      <c r="F197" s="22"/>
      <c r="G197" s="69"/>
      <c r="I197" s="70" t="s">
        <v>411</v>
      </c>
      <c r="J197" s="72"/>
      <c r="K197" s="73"/>
      <c r="L197" s="74"/>
      <c r="M197" s="74"/>
      <c r="N197" s="74"/>
      <c r="O197" s="30"/>
    </row>
    <row r="198" spans="2:15" ht="17.399999999999999" x14ac:dyDescent="0.3">
      <c r="B198" s="68"/>
      <c r="D198" s="22"/>
      <c r="E198" s="22"/>
      <c r="F198" s="22"/>
      <c r="G198" s="69"/>
      <c r="I198" s="70"/>
      <c r="J198" s="72"/>
      <c r="K198" s="73"/>
      <c r="L198" s="74"/>
      <c r="M198" s="74"/>
      <c r="N198" s="74"/>
      <c r="O198" s="30"/>
    </row>
    <row r="199" spans="2:15" ht="17.399999999999999" x14ac:dyDescent="0.3">
      <c r="B199" s="68"/>
      <c r="D199" s="22"/>
      <c r="E199" s="22"/>
      <c r="F199" s="22"/>
      <c r="G199" s="69"/>
      <c r="H199" s="70"/>
      <c r="I199" s="71"/>
      <c r="J199" s="72"/>
      <c r="K199" s="73"/>
      <c r="L199" s="74"/>
      <c r="M199" s="74"/>
      <c r="N199" s="74"/>
      <c r="O199" s="30"/>
    </row>
    <row r="200" spans="2:15" x14ac:dyDescent="0.3">
      <c r="B200" s="78" t="s">
        <v>28</v>
      </c>
      <c r="C200" s="22"/>
      <c r="D200" s="22"/>
      <c r="E200" s="22"/>
      <c r="F200" s="22"/>
      <c r="G200" s="86"/>
      <c r="I200" s="79" t="s">
        <v>168</v>
      </c>
      <c r="L200" s="22"/>
      <c r="M200" s="22"/>
      <c r="N200" s="22"/>
      <c r="O200" s="30"/>
    </row>
    <row r="201" spans="2:15" ht="17.399999999999999" x14ac:dyDescent="0.3">
      <c r="B201" s="80" t="s">
        <v>186</v>
      </c>
      <c r="C201" s="10"/>
      <c r="D201" s="10"/>
      <c r="E201" s="10"/>
      <c r="F201" s="10"/>
      <c r="G201" s="69"/>
      <c r="I201" s="85"/>
      <c r="J201" s="71"/>
      <c r="K201" s="71"/>
      <c r="L201" s="22"/>
      <c r="M201" s="22"/>
      <c r="N201" s="22"/>
      <c r="O201" s="30"/>
    </row>
    <row r="202" spans="2:15" ht="17.399999999999999" x14ac:dyDescent="0.3">
      <c r="B202" s="80"/>
      <c r="C202" s="10"/>
      <c r="D202" s="10"/>
      <c r="E202" s="10"/>
      <c r="F202" s="10"/>
      <c r="G202" s="69"/>
      <c r="I202" s="85"/>
      <c r="J202" s="71"/>
      <c r="K202" s="71"/>
      <c r="L202" s="22"/>
      <c r="M202" s="22"/>
      <c r="N202" s="22"/>
      <c r="O202" s="30"/>
    </row>
    <row r="203" spans="2:15" ht="17.399999999999999" x14ac:dyDescent="0.3">
      <c r="B203" s="68"/>
      <c r="D203" s="22"/>
      <c r="E203" s="22"/>
      <c r="F203" s="22"/>
      <c r="G203" s="69"/>
      <c r="H203" s="70"/>
      <c r="I203" s="71"/>
      <c r="J203" s="72"/>
      <c r="K203" s="73"/>
      <c r="L203" s="74"/>
      <c r="M203" s="74"/>
      <c r="N203" s="74"/>
      <c r="O203" s="30"/>
    </row>
    <row r="204" spans="2:15" x14ac:dyDescent="0.3">
      <c r="B204" s="78" t="s">
        <v>136</v>
      </c>
      <c r="C204" s="22"/>
      <c r="D204" s="22"/>
      <c r="E204" s="22"/>
      <c r="F204" s="22"/>
      <c r="G204" s="69"/>
      <c r="I204" s="88" t="s">
        <v>138</v>
      </c>
      <c r="J204" s="72"/>
      <c r="K204" s="72"/>
      <c r="L204" s="76"/>
      <c r="M204" s="76"/>
      <c r="N204" s="76"/>
      <c r="O204" s="30"/>
    </row>
    <row r="205" spans="2:15" x14ac:dyDescent="0.3">
      <c r="B205" s="197" t="s">
        <v>414</v>
      </c>
      <c r="C205" s="22"/>
      <c r="D205" s="22"/>
      <c r="E205" s="22"/>
      <c r="F205" s="22"/>
      <c r="G205" s="72"/>
      <c r="I205" s="200" t="s">
        <v>409</v>
      </c>
      <c r="J205" s="72"/>
      <c r="K205" s="72"/>
      <c r="L205" s="76"/>
      <c r="M205" s="76"/>
      <c r="N205" s="76"/>
      <c r="O205" s="30"/>
    </row>
    <row r="206" spans="2:15" x14ac:dyDescent="0.3">
      <c r="B206" s="329" t="s">
        <v>417</v>
      </c>
      <c r="C206" s="22"/>
      <c r="D206" s="22"/>
      <c r="E206" s="22"/>
      <c r="F206" s="22"/>
      <c r="G206" s="72"/>
      <c r="I206" s="200" t="s">
        <v>413</v>
      </c>
      <c r="J206" s="72"/>
      <c r="K206" s="72"/>
      <c r="L206" s="76"/>
      <c r="M206" s="76"/>
      <c r="N206" s="76"/>
      <c r="O206" s="30"/>
    </row>
    <row r="207" spans="2:15" x14ac:dyDescent="0.3">
      <c r="B207" s="197" t="s">
        <v>418</v>
      </c>
      <c r="C207" s="22"/>
      <c r="D207" s="22"/>
      <c r="E207" s="22"/>
      <c r="F207" s="22"/>
      <c r="G207" s="72"/>
      <c r="J207" s="72"/>
      <c r="K207" s="72"/>
      <c r="L207" s="76"/>
      <c r="M207" s="76"/>
      <c r="N207" s="76"/>
      <c r="O207" s="30"/>
    </row>
    <row r="208" spans="2:15" x14ac:dyDescent="0.3">
      <c r="B208" s="197" t="s">
        <v>419</v>
      </c>
      <c r="C208" s="22"/>
      <c r="D208" s="22"/>
      <c r="E208" s="22"/>
      <c r="F208" s="22"/>
      <c r="G208" s="72"/>
      <c r="J208" s="72"/>
      <c r="K208" s="72"/>
      <c r="L208" s="76"/>
      <c r="M208" s="76"/>
      <c r="N208" s="76"/>
      <c r="O208" s="30"/>
    </row>
    <row r="209" spans="2:15" x14ac:dyDescent="0.3">
      <c r="B209" s="197" t="s">
        <v>415</v>
      </c>
      <c r="C209" s="22"/>
      <c r="D209" s="22"/>
      <c r="E209" s="22"/>
      <c r="F209" s="22"/>
      <c r="G209" s="72"/>
      <c r="J209" s="72"/>
      <c r="K209" s="72"/>
      <c r="L209" s="76"/>
      <c r="M209" s="76"/>
      <c r="N209" s="76"/>
      <c r="O209" s="30"/>
    </row>
    <row r="210" spans="2:15" x14ac:dyDescent="0.3">
      <c r="B210" s="329" t="s">
        <v>420</v>
      </c>
      <c r="C210" s="22"/>
      <c r="D210" s="22"/>
      <c r="E210" s="22"/>
      <c r="F210" s="22"/>
      <c r="G210" s="72"/>
      <c r="H210" s="70"/>
      <c r="I210" s="72"/>
      <c r="J210" s="72"/>
      <c r="K210" s="72"/>
      <c r="L210" s="76"/>
      <c r="M210" s="76"/>
      <c r="N210" s="76"/>
      <c r="O210" s="30"/>
    </row>
    <row r="211" spans="2:15" x14ac:dyDescent="0.3">
      <c r="B211" s="197" t="s">
        <v>421</v>
      </c>
      <c r="C211" s="22"/>
      <c r="D211" s="22"/>
      <c r="E211" s="22"/>
      <c r="F211" s="22"/>
      <c r="G211" s="72"/>
      <c r="H211" s="70"/>
      <c r="J211" s="72"/>
      <c r="K211" s="72"/>
      <c r="L211" s="76"/>
      <c r="M211" s="76"/>
      <c r="N211" s="76"/>
      <c r="O211" s="30"/>
    </row>
    <row r="212" spans="2:15" x14ac:dyDescent="0.3">
      <c r="B212" s="197" t="s">
        <v>416</v>
      </c>
      <c r="C212" s="22"/>
      <c r="D212" s="22"/>
      <c r="E212" s="22"/>
      <c r="F212" s="22"/>
      <c r="G212" s="72"/>
      <c r="H212" s="70"/>
      <c r="I212" s="72"/>
      <c r="J212" s="72"/>
      <c r="K212" s="72"/>
      <c r="L212" s="76"/>
      <c r="M212" s="76"/>
      <c r="N212" s="76"/>
      <c r="O212" s="30"/>
    </row>
    <row r="213" spans="2:15" x14ac:dyDescent="0.3">
      <c r="B213" s="9"/>
      <c r="C213" s="22"/>
      <c r="D213" s="22"/>
      <c r="E213" s="22"/>
      <c r="F213" s="22"/>
      <c r="G213" s="69"/>
      <c r="I213" s="79" t="s">
        <v>95</v>
      </c>
      <c r="J213" s="72"/>
      <c r="K213" s="72"/>
      <c r="L213" s="22"/>
      <c r="M213" s="22"/>
      <c r="N213" s="22"/>
      <c r="O213" s="30"/>
    </row>
    <row r="214" spans="2:15" ht="17.399999999999999" x14ac:dyDescent="0.3">
      <c r="B214" s="9"/>
      <c r="C214" s="10"/>
      <c r="D214" s="10"/>
      <c r="E214" s="10"/>
      <c r="F214" s="10"/>
      <c r="G214" s="10"/>
      <c r="I214" s="85"/>
      <c r="J214" s="71"/>
      <c r="K214" s="71"/>
      <c r="L214" s="71"/>
      <c r="M214" s="22"/>
      <c r="N214" s="22"/>
      <c r="O214" s="30"/>
    </row>
    <row r="215" spans="2:15" x14ac:dyDescent="0.3">
      <c r="B215" s="87" t="s">
        <v>137</v>
      </c>
      <c r="C215" s="82"/>
      <c r="D215" s="22"/>
      <c r="E215" s="22"/>
      <c r="F215" s="22"/>
      <c r="G215" s="72"/>
      <c r="H215" s="70"/>
      <c r="I215" s="10"/>
      <c r="J215" s="72"/>
      <c r="K215" s="72"/>
      <c r="L215" s="22"/>
      <c r="M215" s="22"/>
      <c r="N215" s="22"/>
      <c r="O215" s="30"/>
    </row>
    <row r="216" spans="2:15" x14ac:dyDescent="0.3">
      <c r="B216" s="80" t="s">
        <v>410</v>
      </c>
      <c r="C216" s="22"/>
      <c r="D216" s="22"/>
      <c r="E216" s="22"/>
      <c r="F216" s="22"/>
      <c r="G216" s="72"/>
      <c r="I216" s="70"/>
      <c r="J216" s="72"/>
      <c r="K216" s="72"/>
      <c r="L216" s="22"/>
      <c r="M216" s="22"/>
      <c r="N216" s="22"/>
      <c r="O216" s="30"/>
    </row>
    <row r="217" spans="2:15" x14ac:dyDescent="0.3">
      <c r="B217" s="81" t="s">
        <v>412</v>
      </c>
      <c r="C217" s="82"/>
      <c r="D217" s="22"/>
      <c r="E217" s="22"/>
      <c r="F217" s="22"/>
      <c r="G217" s="22"/>
      <c r="I217" s="70"/>
      <c r="J217" s="72"/>
      <c r="K217" s="72"/>
      <c r="L217" s="22"/>
      <c r="M217" s="22"/>
      <c r="N217" s="22"/>
      <c r="O217" s="30"/>
    </row>
    <row r="218" spans="2:15" x14ac:dyDescent="0.3">
      <c r="B218" s="81"/>
      <c r="C218" s="22"/>
      <c r="D218" s="79"/>
      <c r="E218" s="22"/>
      <c r="F218" s="79"/>
      <c r="G218" s="86"/>
      <c r="I218" s="70"/>
      <c r="J218" s="72"/>
      <c r="K218" s="72"/>
      <c r="L218" s="76"/>
      <c r="M218" s="76"/>
      <c r="N218" s="76"/>
      <c r="O218" s="30"/>
    </row>
    <row r="219" spans="2:15" x14ac:dyDescent="0.3">
      <c r="B219" s="81"/>
      <c r="C219" s="22"/>
      <c r="D219" s="79"/>
      <c r="E219" s="22"/>
      <c r="F219" s="79"/>
      <c r="G219" s="86"/>
      <c r="I219" s="70"/>
      <c r="J219" s="10"/>
      <c r="K219" s="10"/>
      <c r="L219" s="10"/>
      <c r="M219" s="10"/>
      <c r="N219" s="10"/>
      <c r="O219" s="30"/>
    </row>
    <row r="220" spans="2:15" x14ac:dyDescent="0.3">
      <c r="B220" s="81"/>
      <c r="C220" s="22"/>
      <c r="D220" s="79"/>
      <c r="E220" s="22"/>
      <c r="F220" s="79"/>
      <c r="G220" s="86"/>
      <c r="H220" s="70"/>
      <c r="I220" s="10"/>
      <c r="J220" s="72"/>
      <c r="K220" s="72"/>
      <c r="L220" s="22"/>
      <c r="M220" s="22"/>
      <c r="N220" s="22"/>
      <c r="O220" s="30"/>
    </row>
    <row r="221" spans="2:15" ht="17.399999999999999" x14ac:dyDescent="0.3">
      <c r="B221" s="90"/>
      <c r="C221" s="91"/>
      <c r="D221" s="91"/>
      <c r="E221" s="91"/>
      <c r="F221" s="92"/>
      <c r="G221" s="93"/>
      <c r="H221" s="248"/>
      <c r="I221" s="95"/>
      <c r="J221" s="93"/>
      <c r="K221" s="95"/>
      <c r="L221" s="96"/>
      <c r="M221" s="96"/>
      <c r="N221" s="91"/>
      <c r="O221" s="16"/>
    </row>
    <row r="222" spans="2:15" x14ac:dyDescent="0.3">
      <c r="B222" s="82"/>
      <c r="C222" s="69"/>
      <c r="D222" s="72"/>
      <c r="E222" s="72"/>
      <c r="F222" s="72"/>
      <c r="G222" s="72"/>
      <c r="H222" s="221"/>
      <c r="I222" s="76"/>
      <c r="J222" s="76"/>
      <c r="K222" s="76"/>
      <c r="L222" s="74"/>
      <c r="M222" s="74"/>
      <c r="N222" s="22"/>
    </row>
    <row r="223" spans="2:15" x14ac:dyDescent="0.3">
      <c r="H223" s="76"/>
    </row>
  </sheetData>
  <mergeCells count="73">
    <mergeCell ref="B192:C192"/>
    <mergeCell ref="C183:D183"/>
    <mergeCell ref="C182:D182"/>
    <mergeCell ref="C181:D181"/>
    <mergeCell ref="B175:C175"/>
    <mergeCell ref="D175:E175"/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D166:E166"/>
    <mergeCell ref="G152:I152"/>
    <mergeCell ref="F178:G178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67:C167"/>
    <mergeCell ref="D167:E167"/>
    <mergeCell ref="B168:C168"/>
  </mergeCells>
  <pageMargins left="0.7" right="0.7" top="0.75" bottom="0.75" header="0.3" footer="0.3"/>
  <pageSetup scale="64" fitToHeight="0" orientation="portrait" r:id="rId1"/>
  <rowBreaks count="3" manualBreakCount="3">
    <brk id="65" max="16383" man="1"/>
    <brk id="124" max="16383" man="1"/>
    <brk id="17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4"/>
  <sheetViews>
    <sheetView topLeftCell="A74" workbookViewId="0">
      <selection activeCell="E82" sqref="E82"/>
    </sheetView>
  </sheetViews>
  <sheetFormatPr defaultRowHeight="14.4" x14ac:dyDescent="0.3"/>
  <cols>
    <col min="8" max="8" width="10.33203125" bestFit="1" customWidth="1"/>
  </cols>
  <sheetData>
    <row r="1" spans="2:13" ht="17.399999999999999" x14ac:dyDescent="0.3">
      <c r="F1" s="1" t="s">
        <v>0</v>
      </c>
      <c r="G1" s="1"/>
      <c r="H1" s="2"/>
      <c r="I1" s="2"/>
      <c r="J1" s="2"/>
      <c r="K1" s="3"/>
    </row>
    <row r="2" spans="2:13" ht="17.399999999999999" x14ac:dyDescent="0.3">
      <c r="G2" s="4"/>
      <c r="H2" s="3">
        <v>43617</v>
      </c>
      <c r="I2" s="2"/>
      <c r="J2" s="2"/>
      <c r="K2" s="5"/>
    </row>
    <row r="4" spans="2:13" x14ac:dyDescent="0.3">
      <c r="B4" s="207" t="s">
        <v>16</v>
      </c>
      <c r="C4" s="148"/>
    </row>
    <row r="5" spans="2:13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3" x14ac:dyDescent="0.3">
      <c r="C6" s="216" t="s">
        <v>17</v>
      </c>
      <c r="D6" s="126">
        <v>75</v>
      </c>
      <c r="E6" s="126">
        <v>0</v>
      </c>
      <c r="F6" s="126">
        <v>162</v>
      </c>
      <c r="G6" s="127">
        <v>290</v>
      </c>
      <c r="H6" s="127">
        <v>82</v>
      </c>
      <c r="I6" s="127">
        <v>1</v>
      </c>
      <c r="J6" s="127">
        <v>4</v>
      </c>
      <c r="K6" s="127">
        <v>92</v>
      </c>
      <c r="L6" s="127">
        <v>58</v>
      </c>
      <c r="M6" s="127">
        <f>SUM(D6:L6)</f>
        <v>764</v>
      </c>
    </row>
    <row r="7" spans="2:13" x14ac:dyDescent="0.3">
      <c r="C7" s="38" t="s">
        <v>18</v>
      </c>
      <c r="D7" s="126">
        <v>1</v>
      </c>
      <c r="E7" s="126">
        <v>0</v>
      </c>
      <c r="F7" s="127">
        <v>1</v>
      </c>
      <c r="G7" s="126">
        <v>1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6</v>
      </c>
    </row>
    <row r="8" spans="2:13" x14ac:dyDescent="0.3">
      <c r="C8" s="38" t="s">
        <v>19</v>
      </c>
      <c r="D8" s="126">
        <v>1</v>
      </c>
      <c r="E8" s="126">
        <v>2</v>
      </c>
      <c r="F8" s="126">
        <v>17</v>
      </c>
      <c r="G8" s="126">
        <v>12</v>
      </c>
      <c r="H8" s="127">
        <v>19</v>
      </c>
      <c r="I8" s="127">
        <v>1</v>
      </c>
      <c r="J8" s="126">
        <v>0</v>
      </c>
      <c r="K8" s="126">
        <v>26</v>
      </c>
      <c r="L8" s="127">
        <v>0</v>
      </c>
      <c r="M8" s="127">
        <f>SUM(D8:L8)</f>
        <v>78</v>
      </c>
    </row>
    <row r="9" spans="2:13" x14ac:dyDescent="0.3">
      <c r="C9" s="38" t="s">
        <v>20</v>
      </c>
      <c r="D9" s="126">
        <v>6</v>
      </c>
      <c r="E9" s="126">
        <v>5</v>
      </c>
      <c r="F9" s="126">
        <v>22</v>
      </c>
      <c r="G9" s="126">
        <v>56</v>
      </c>
      <c r="H9" s="127">
        <v>22</v>
      </c>
      <c r="I9" s="126">
        <v>1</v>
      </c>
      <c r="J9" s="126">
        <v>2</v>
      </c>
      <c r="K9" s="126">
        <v>24</v>
      </c>
      <c r="L9" s="127">
        <v>5</v>
      </c>
      <c r="M9" s="127">
        <f>SUM(D9:L9)</f>
        <v>143</v>
      </c>
    </row>
    <row r="10" spans="2:13" x14ac:dyDescent="0.3">
      <c r="C10" s="38" t="s">
        <v>21</v>
      </c>
      <c r="D10" s="127">
        <v>128</v>
      </c>
      <c r="E10" s="126">
        <v>65</v>
      </c>
      <c r="F10" s="126">
        <v>272</v>
      </c>
      <c r="G10" s="126">
        <v>299</v>
      </c>
      <c r="H10" s="127">
        <v>162</v>
      </c>
      <c r="I10" s="126">
        <v>13</v>
      </c>
      <c r="J10" s="126">
        <v>9</v>
      </c>
      <c r="K10" s="126">
        <v>527</v>
      </c>
      <c r="L10" s="127">
        <v>158</v>
      </c>
      <c r="M10" s="127">
        <f>SUM(D10:L10)</f>
        <v>1633</v>
      </c>
    </row>
    <row r="11" spans="2:13" x14ac:dyDescent="0.3">
      <c r="C11" s="38" t="s">
        <v>12</v>
      </c>
      <c r="D11" s="127">
        <f t="shared" ref="D11:M11" si="0">SUM(D6:D10)</f>
        <v>211</v>
      </c>
      <c r="E11" s="126">
        <f t="shared" si="0"/>
        <v>72</v>
      </c>
      <c r="F11" s="127">
        <f t="shared" si="0"/>
        <v>474</v>
      </c>
      <c r="G11" s="127">
        <f t="shared" si="0"/>
        <v>658</v>
      </c>
      <c r="H11" s="127">
        <f t="shared" si="0"/>
        <v>286</v>
      </c>
      <c r="I11" s="126">
        <f t="shared" si="0"/>
        <v>16</v>
      </c>
      <c r="J11" s="126">
        <f t="shared" si="0"/>
        <v>15</v>
      </c>
      <c r="K11" s="126">
        <f t="shared" si="0"/>
        <v>669</v>
      </c>
      <c r="L11" s="126">
        <f t="shared" si="0"/>
        <v>223</v>
      </c>
      <c r="M11" s="127">
        <f t="shared" si="0"/>
        <v>2624</v>
      </c>
    </row>
    <row r="12" spans="2:13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3" x14ac:dyDescent="0.3">
      <c r="H13" s="17"/>
      <c r="I13" s="17"/>
      <c r="J13" s="17"/>
      <c r="K13" s="25"/>
    </row>
    <row r="14" spans="2:13" x14ac:dyDescent="0.3">
      <c r="B14" s="207" t="s">
        <v>139</v>
      </c>
      <c r="C14" s="148"/>
    </row>
    <row r="15" spans="2:13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3" x14ac:dyDescent="0.3">
      <c r="C16" s="233" t="s">
        <v>24</v>
      </c>
      <c r="D16" s="126">
        <v>82</v>
      </c>
      <c r="E16" s="126">
        <v>1</v>
      </c>
      <c r="F16" s="126">
        <v>51</v>
      </c>
      <c r="G16" s="127">
        <v>184</v>
      </c>
      <c r="H16" s="127">
        <v>386</v>
      </c>
      <c r="I16" s="127">
        <v>9</v>
      </c>
      <c r="J16" s="127">
        <v>16</v>
      </c>
      <c r="K16" s="127">
        <v>171</v>
      </c>
      <c r="L16" s="127">
        <v>49</v>
      </c>
      <c r="M16" s="127">
        <f t="shared" ref="M16:M21" si="1">SUM(D16:L16)</f>
        <v>949</v>
      </c>
    </row>
    <row r="17" spans="2:13" x14ac:dyDescent="0.3">
      <c r="C17" s="38" t="s">
        <v>25</v>
      </c>
      <c r="D17" s="126">
        <v>22</v>
      </c>
      <c r="E17" s="126">
        <v>0</v>
      </c>
      <c r="F17" s="127">
        <v>24</v>
      </c>
      <c r="G17" s="126">
        <v>49</v>
      </c>
      <c r="H17" s="126">
        <v>46</v>
      </c>
      <c r="I17" s="126">
        <v>0</v>
      </c>
      <c r="J17" s="126">
        <v>16</v>
      </c>
      <c r="K17" s="126">
        <v>40</v>
      </c>
      <c r="L17" s="126">
        <v>39</v>
      </c>
      <c r="M17" s="127">
        <f t="shared" si="1"/>
        <v>236</v>
      </c>
    </row>
    <row r="18" spans="2:13" x14ac:dyDescent="0.3">
      <c r="C18" s="38" t="s">
        <v>26</v>
      </c>
      <c r="D18" s="126">
        <v>165</v>
      </c>
      <c r="E18" s="126">
        <v>236</v>
      </c>
      <c r="F18" s="126">
        <v>348</v>
      </c>
      <c r="G18" s="126">
        <v>216</v>
      </c>
      <c r="H18" s="127">
        <v>199</v>
      </c>
      <c r="I18" s="127">
        <v>1</v>
      </c>
      <c r="J18" s="126">
        <v>10</v>
      </c>
      <c r="K18" s="126">
        <v>221</v>
      </c>
      <c r="L18" s="127">
        <v>168</v>
      </c>
      <c r="M18" s="127">
        <f t="shared" si="1"/>
        <v>1564</v>
      </c>
    </row>
    <row r="19" spans="2:13" x14ac:dyDescent="0.3">
      <c r="C19" s="38" t="s">
        <v>27</v>
      </c>
      <c r="D19" s="126">
        <f>16+31</f>
        <v>47</v>
      </c>
      <c r="E19" s="126">
        <f>7+23</f>
        <v>30</v>
      </c>
      <c r="F19" s="126">
        <f>9</f>
        <v>9</v>
      </c>
      <c r="G19" s="126">
        <f>15+25</f>
        <v>40</v>
      </c>
      <c r="H19" s="127">
        <f>7+16</f>
        <v>23</v>
      </c>
      <c r="I19" s="126">
        <f>8+18</f>
        <v>26</v>
      </c>
      <c r="J19" s="126">
        <f>10+31</f>
        <v>41</v>
      </c>
      <c r="K19" s="126">
        <f>8+25</f>
        <v>33</v>
      </c>
      <c r="L19" s="127">
        <f>7+14</f>
        <v>21</v>
      </c>
      <c r="M19" s="127">
        <f t="shared" si="1"/>
        <v>270</v>
      </c>
    </row>
    <row r="20" spans="2:13" x14ac:dyDescent="0.3">
      <c r="C20" s="38" t="s">
        <v>28</v>
      </c>
      <c r="D20" s="127">
        <f>D59</f>
        <v>10</v>
      </c>
      <c r="E20" s="127">
        <f t="shared" ref="E20:L20" si="2">E59</f>
        <v>5</v>
      </c>
      <c r="F20" s="127">
        <f t="shared" si="2"/>
        <v>25</v>
      </c>
      <c r="G20" s="127">
        <f t="shared" si="2"/>
        <v>39</v>
      </c>
      <c r="H20" s="127">
        <f t="shared" si="2"/>
        <v>17</v>
      </c>
      <c r="I20" s="127">
        <f t="shared" si="2"/>
        <v>5</v>
      </c>
      <c r="J20" s="127">
        <f t="shared" si="2"/>
        <v>4</v>
      </c>
      <c r="K20" s="127">
        <f t="shared" si="2"/>
        <v>44</v>
      </c>
      <c r="L20" s="127">
        <f t="shared" si="2"/>
        <v>12</v>
      </c>
      <c r="M20" s="127">
        <f t="shared" si="1"/>
        <v>161</v>
      </c>
    </row>
    <row r="21" spans="2:13" x14ac:dyDescent="0.3">
      <c r="C21" s="38" t="s">
        <v>12</v>
      </c>
      <c r="D21" s="127">
        <f t="shared" ref="D21:L21" si="3">SUM(D16:D20)</f>
        <v>326</v>
      </c>
      <c r="E21" s="126">
        <f t="shared" si="3"/>
        <v>272</v>
      </c>
      <c r="F21" s="127">
        <f t="shared" si="3"/>
        <v>457</v>
      </c>
      <c r="G21" s="127">
        <f t="shared" si="3"/>
        <v>528</v>
      </c>
      <c r="H21" s="127">
        <f t="shared" si="3"/>
        <v>671</v>
      </c>
      <c r="I21" s="126">
        <f t="shared" si="3"/>
        <v>41</v>
      </c>
      <c r="J21" s="126">
        <f t="shared" si="3"/>
        <v>87</v>
      </c>
      <c r="K21" s="126">
        <f t="shared" si="3"/>
        <v>509</v>
      </c>
      <c r="L21" s="126">
        <f t="shared" si="3"/>
        <v>289</v>
      </c>
      <c r="M21" s="127">
        <f t="shared" si="1"/>
        <v>3180</v>
      </c>
    </row>
    <row r="23" spans="2:13" x14ac:dyDescent="0.3">
      <c r="B23" s="361" t="s">
        <v>31</v>
      </c>
      <c r="C23" s="362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5</v>
      </c>
      <c r="L23" s="126">
        <v>0</v>
      </c>
      <c r="M23" s="126">
        <f>SUM(D23:L23)</f>
        <v>5</v>
      </c>
    </row>
    <row r="24" spans="2:13" x14ac:dyDescent="0.3">
      <c r="B24" s="363" t="s">
        <v>32</v>
      </c>
      <c r="C24" s="364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98</v>
      </c>
      <c r="L24" s="126">
        <v>0</v>
      </c>
      <c r="M24" s="134">
        <f>SUM(D24:L24)</f>
        <v>98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186"/>
      <c r="E26" s="59">
        <v>3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186"/>
      <c r="E27" s="59">
        <v>2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6"/>
      <c r="E31" s="126">
        <v>2</v>
      </c>
      <c r="F31" s="126">
        <v>4</v>
      </c>
      <c r="G31" s="127">
        <v>9</v>
      </c>
      <c r="H31" s="127"/>
      <c r="I31" s="127">
        <v>1</v>
      </c>
      <c r="J31" s="127">
        <v>1</v>
      </c>
      <c r="K31" s="127">
        <v>7</v>
      </c>
      <c r="L31" s="127">
        <v>2</v>
      </c>
      <c r="M31" s="127">
        <f t="shared" ref="M31:M58" si="4">SUM(D31:L31)</f>
        <v>26</v>
      </c>
    </row>
    <row r="32" spans="2:13" x14ac:dyDescent="0.3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4"/>
        <v>0</v>
      </c>
    </row>
    <row r="33" spans="3:13" x14ac:dyDescent="0.3">
      <c r="C33" s="38" t="s">
        <v>35</v>
      </c>
      <c r="D33" s="126">
        <v>2</v>
      </c>
      <c r="E33" s="126">
        <v>1</v>
      </c>
      <c r="F33" s="126">
        <v>8</v>
      </c>
      <c r="G33" s="126">
        <v>9</v>
      </c>
      <c r="H33" s="127">
        <v>9</v>
      </c>
      <c r="I33" s="127">
        <v>3</v>
      </c>
      <c r="J33" s="126">
        <v>1</v>
      </c>
      <c r="K33" s="126">
        <v>10</v>
      </c>
      <c r="L33" s="127">
        <v>1</v>
      </c>
      <c r="M33" s="127">
        <f t="shared" si="4"/>
        <v>44</v>
      </c>
    </row>
    <row r="34" spans="3:13" x14ac:dyDescent="0.3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4"/>
        <v>0</v>
      </c>
    </row>
    <row r="35" spans="3:13" x14ac:dyDescent="0.3">
      <c r="C35" s="38" t="s">
        <v>37</v>
      </c>
      <c r="D35" s="127"/>
      <c r="E35" s="126"/>
      <c r="F35" s="126"/>
      <c r="G35" s="126">
        <v>3</v>
      </c>
      <c r="H35" s="127"/>
      <c r="I35" s="126"/>
      <c r="J35" s="126"/>
      <c r="K35" s="126">
        <v>1</v>
      </c>
      <c r="L35" s="127">
        <v>1</v>
      </c>
      <c r="M35" s="127">
        <f t="shared" si="4"/>
        <v>5</v>
      </c>
    </row>
    <row r="36" spans="3:13" x14ac:dyDescent="0.3">
      <c r="C36" s="38" t="s">
        <v>38</v>
      </c>
      <c r="D36" s="127"/>
      <c r="E36" s="126"/>
      <c r="F36" s="127"/>
      <c r="G36" s="127"/>
      <c r="H36" s="127"/>
      <c r="I36" s="126"/>
      <c r="J36" s="126"/>
      <c r="K36" s="126"/>
      <c r="L36" s="126"/>
      <c r="M36" s="127">
        <f t="shared" si="4"/>
        <v>0</v>
      </c>
    </row>
    <row r="37" spans="3:13" x14ac:dyDescent="0.3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3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3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4"/>
        <v>0</v>
      </c>
    </row>
    <row r="40" spans="3:13" x14ac:dyDescent="0.3">
      <c r="C40" s="38" t="s">
        <v>42</v>
      </c>
      <c r="D40" s="126"/>
      <c r="E40" s="126"/>
      <c r="F40" s="127"/>
      <c r="G40" s="127"/>
      <c r="H40" s="127"/>
      <c r="I40" s="127"/>
      <c r="J40" s="126"/>
      <c r="K40" s="126"/>
      <c r="L40" s="127"/>
      <c r="M40" s="127">
        <f t="shared" si="4"/>
        <v>0</v>
      </c>
    </row>
    <row r="41" spans="3:13" x14ac:dyDescent="0.3">
      <c r="C41" s="38" t="s">
        <v>43</v>
      </c>
      <c r="D41" s="126"/>
      <c r="E41" s="126"/>
      <c r="F41" s="127"/>
      <c r="G41" s="127"/>
      <c r="H41" s="127"/>
      <c r="I41" s="127"/>
      <c r="J41" s="126"/>
      <c r="K41" s="126"/>
      <c r="L41" s="127"/>
      <c r="M41" s="127">
        <f t="shared" si="4"/>
        <v>0</v>
      </c>
    </row>
    <row r="42" spans="3:13" x14ac:dyDescent="0.3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4"/>
        <v>0</v>
      </c>
    </row>
    <row r="43" spans="3:13" x14ac:dyDescent="0.3">
      <c r="C43" s="37" t="s">
        <v>45</v>
      </c>
      <c r="D43" s="126"/>
      <c r="E43" s="126"/>
      <c r="F43" s="127"/>
      <c r="G43" s="127"/>
      <c r="H43" s="127"/>
      <c r="I43" s="127"/>
      <c r="J43" s="127"/>
      <c r="K43" s="127"/>
      <c r="L43" s="127"/>
      <c r="M43" s="127">
        <f t="shared" si="4"/>
        <v>0</v>
      </c>
    </row>
    <row r="44" spans="3:13" x14ac:dyDescent="0.3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3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3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3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3">
      <c r="C48" s="37" t="s">
        <v>50</v>
      </c>
      <c r="D48" s="127">
        <v>7</v>
      </c>
      <c r="E48" s="127">
        <v>2</v>
      </c>
      <c r="F48" s="127">
        <v>9</v>
      </c>
      <c r="G48" s="127">
        <v>6</v>
      </c>
      <c r="H48" s="127">
        <v>3</v>
      </c>
      <c r="I48" s="127"/>
      <c r="J48" s="127">
        <v>2</v>
      </c>
      <c r="K48" s="127">
        <v>13</v>
      </c>
      <c r="L48" s="127">
        <v>2</v>
      </c>
      <c r="M48" s="127">
        <f t="shared" si="4"/>
        <v>44</v>
      </c>
    </row>
    <row r="49" spans="2:14" x14ac:dyDescent="0.3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3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3">
      <c r="C51" s="38" t="s">
        <v>53</v>
      </c>
      <c r="D51" s="127"/>
      <c r="E51" s="126"/>
      <c r="F51" s="127">
        <v>2</v>
      </c>
      <c r="G51" s="127"/>
      <c r="H51" s="127"/>
      <c r="I51" s="127"/>
      <c r="J51" s="127"/>
      <c r="K51" s="127">
        <v>1</v>
      </c>
      <c r="L51" s="127"/>
      <c r="M51" s="127">
        <f t="shared" si="4"/>
        <v>3</v>
      </c>
    </row>
    <row r="52" spans="2:14" x14ac:dyDescent="0.3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3">
      <c r="C53" s="38" t="s">
        <v>167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3">
      <c r="C54" s="38" t="s">
        <v>55</v>
      </c>
      <c r="D54" s="127"/>
      <c r="E54" s="126"/>
      <c r="F54" s="127"/>
      <c r="G54" s="127"/>
      <c r="H54" s="127"/>
      <c r="I54" s="127"/>
      <c r="J54" s="127"/>
      <c r="K54" s="127"/>
      <c r="L54" s="127"/>
      <c r="M54" s="127">
        <f t="shared" si="4"/>
        <v>0</v>
      </c>
    </row>
    <row r="55" spans="2:14" x14ac:dyDescent="0.3">
      <c r="C55" s="38" t="s">
        <v>56</v>
      </c>
      <c r="D55" s="126">
        <v>1</v>
      </c>
      <c r="E55" s="126"/>
      <c r="F55" s="126">
        <v>2</v>
      </c>
      <c r="G55" s="127">
        <v>7</v>
      </c>
      <c r="H55" s="126">
        <v>4</v>
      </c>
      <c r="I55" s="127">
        <v>1</v>
      </c>
      <c r="J55" s="127"/>
      <c r="K55" s="127">
        <v>5</v>
      </c>
      <c r="L55" s="127">
        <v>6</v>
      </c>
      <c r="M55" s="127">
        <f t="shared" si="4"/>
        <v>26</v>
      </c>
    </row>
    <row r="56" spans="2:14" x14ac:dyDescent="0.3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3">
      <c r="C57" s="21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4"/>
        <v>0</v>
      </c>
    </row>
    <row r="58" spans="2:14" ht="15" thickBot="1" x14ac:dyDescent="0.35">
      <c r="C58" s="215" t="s">
        <v>59</v>
      </c>
      <c r="D58" s="145"/>
      <c r="E58" s="128"/>
      <c r="F58" s="128"/>
      <c r="G58" s="128">
        <v>5</v>
      </c>
      <c r="H58" s="128">
        <v>1</v>
      </c>
      <c r="I58" s="128"/>
      <c r="J58" s="128"/>
      <c r="K58" s="128">
        <v>7</v>
      </c>
      <c r="L58" s="128"/>
      <c r="M58" s="144">
        <f t="shared" si="4"/>
        <v>13</v>
      </c>
    </row>
    <row r="59" spans="2:14" ht="15" thickTop="1" x14ac:dyDescent="0.3">
      <c r="C59" s="36" t="s">
        <v>29</v>
      </c>
      <c r="D59" s="143">
        <f t="shared" ref="D59:M59" si="5">SUM(D31:D58)</f>
        <v>10</v>
      </c>
      <c r="E59" s="143">
        <f>SUM(E31:E58)</f>
        <v>5</v>
      </c>
      <c r="F59" s="143">
        <f t="shared" si="5"/>
        <v>25</v>
      </c>
      <c r="G59" s="143">
        <f t="shared" si="5"/>
        <v>39</v>
      </c>
      <c r="H59" s="143">
        <f t="shared" si="5"/>
        <v>17</v>
      </c>
      <c r="I59" s="143">
        <f t="shared" si="5"/>
        <v>5</v>
      </c>
      <c r="J59" s="143">
        <f t="shared" si="5"/>
        <v>4</v>
      </c>
      <c r="K59" s="143">
        <f t="shared" si="5"/>
        <v>44</v>
      </c>
      <c r="L59" s="143">
        <f t="shared" si="5"/>
        <v>12</v>
      </c>
      <c r="M59" s="143">
        <f t="shared" si="5"/>
        <v>161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v>3398</v>
      </c>
      <c r="E64" s="125">
        <v>79</v>
      </c>
      <c r="F64" s="125">
        <v>12264</v>
      </c>
      <c r="G64" s="125">
        <v>12012</v>
      </c>
      <c r="H64" s="125">
        <v>9067</v>
      </c>
      <c r="I64" s="125">
        <v>103</v>
      </c>
      <c r="J64" s="125">
        <v>57</v>
      </c>
      <c r="K64" s="125">
        <v>11407</v>
      </c>
      <c r="L64" s="125">
        <v>1830</v>
      </c>
      <c r="M64" s="21">
        <f>SUM(D64:L64)</f>
        <v>50217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s="102"/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98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23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223" t="s">
        <v>72</v>
      </c>
      <c r="M68" s="187" t="s">
        <v>144</v>
      </c>
      <c r="N68" s="16"/>
    </row>
    <row r="69" spans="2:14" x14ac:dyDescent="0.3">
      <c r="B69" s="28" t="s">
        <v>73</v>
      </c>
      <c r="C69" s="255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136">
        <v>43827</v>
      </c>
      <c r="D70" s="129">
        <f>48+39+19+21</f>
        <v>127</v>
      </c>
      <c r="E70" s="129">
        <v>969</v>
      </c>
      <c r="F70" s="135">
        <f>35+8+75+5+30+67+1</f>
        <v>221</v>
      </c>
      <c r="G70" s="135">
        <f>36+3+11+3+13+5+4+5+2+18+16+11+4+58+3+4+2+9+3+11+2+6+19+14+4+8+15+9+5+1+6+1+10+4+8+3+14+5+1+1+2+3</f>
        <v>362</v>
      </c>
      <c r="H70" s="129">
        <v>52</v>
      </c>
      <c r="I70" s="135">
        <f>21+185+4787</f>
        <v>4993</v>
      </c>
      <c r="J70" s="135">
        <v>13</v>
      </c>
      <c r="K70" s="129">
        <v>17</v>
      </c>
      <c r="L70" s="135">
        <v>243</v>
      </c>
      <c r="M70" s="129">
        <f>N72+N73</f>
        <v>5493</v>
      </c>
      <c r="N70" s="130">
        <f>SUM(C70:M70)</f>
        <v>56317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v>5314</v>
      </c>
    </row>
    <row r="73" spans="2:14" x14ac:dyDescent="0.3">
      <c r="B73" s="10"/>
      <c r="C73" s="6" t="s">
        <v>264</v>
      </c>
      <c r="D73" s="49"/>
      <c r="E73" s="8">
        <v>93</v>
      </c>
      <c r="F73" s="10"/>
      <c r="G73" s="10"/>
      <c r="H73" s="12"/>
      <c r="I73" s="10"/>
      <c r="K73" s="10"/>
      <c r="L73" s="10" t="s">
        <v>147</v>
      </c>
      <c r="M73" s="10"/>
      <c r="N73">
        <v>179</v>
      </c>
    </row>
    <row r="74" spans="2:14" x14ac:dyDescent="0.3">
      <c r="C74" s="42" t="s">
        <v>79</v>
      </c>
      <c r="D74" s="242"/>
      <c r="E74" s="31">
        <v>169</v>
      </c>
      <c r="I74" s="10"/>
      <c r="K74" s="10"/>
      <c r="L74" s="10"/>
      <c r="M74" s="10"/>
    </row>
    <row r="75" spans="2:14" x14ac:dyDescent="0.3">
      <c r="C75" s="44" t="s">
        <v>82</v>
      </c>
      <c r="D75" s="243"/>
      <c r="E75" s="16">
        <v>44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252" t="s">
        <v>117</v>
      </c>
      <c r="D77" s="49"/>
      <c r="E77" s="10"/>
      <c r="I77" s="10"/>
    </row>
    <row r="78" spans="2:14" x14ac:dyDescent="0.3">
      <c r="C78" s="51" t="s">
        <v>118</v>
      </c>
      <c r="D78" s="166">
        <v>533</v>
      </c>
      <c r="E78" s="10"/>
      <c r="I78" s="10"/>
    </row>
    <row r="79" spans="2:14" x14ac:dyDescent="0.3">
      <c r="C79" s="53" t="s">
        <v>108</v>
      </c>
      <c r="D79" s="56">
        <v>912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206" t="s">
        <v>77</v>
      </c>
      <c r="D81" s="245"/>
      <c r="E81" s="8">
        <v>0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246"/>
      <c r="E82" s="46">
        <v>2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3"/>
      <c r="F84" s="27">
        <v>0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243"/>
      <c r="F85" s="16">
        <v>0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253" t="s">
        <v>179</v>
      </c>
      <c r="D89" s="126">
        <v>51</v>
      </c>
      <c r="E89" s="126">
        <v>29</v>
      </c>
      <c r="F89" s="126">
        <v>231</v>
      </c>
      <c r="G89" s="167">
        <v>375</v>
      </c>
      <c r="H89" s="167">
        <v>78</v>
      </c>
      <c r="I89" s="167">
        <v>0</v>
      </c>
      <c r="J89" s="167">
        <v>3</v>
      </c>
      <c r="K89" s="167">
        <v>190</v>
      </c>
      <c r="L89" s="167">
        <v>28</v>
      </c>
      <c r="M89" s="168" t="s">
        <v>126</v>
      </c>
      <c r="N89" s="119">
        <f>SUM(D89:M89)</f>
        <v>985</v>
      </c>
    </row>
    <row r="90" spans="2:14" x14ac:dyDescent="0.3">
      <c r="B90" s="9"/>
      <c r="C90" s="12" t="s">
        <v>13</v>
      </c>
      <c r="D90" s="126">
        <v>1</v>
      </c>
      <c r="E90" s="126">
        <v>0</v>
      </c>
      <c r="F90" s="126">
        <v>4</v>
      </c>
      <c r="G90" s="167">
        <v>91</v>
      </c>
      <c r="H90" s="167">
        <v>3</v>
      </c>
      <c r="I90" s="167">
        <v>0</v>
      </c>
      <c r="J90" s="167">
        <v>0</v>
      </c>
      <c r="K90" s="167">
        <v>62</v>
      </c>
      <c r="L90" s="167">
        <v>0</v>
      </c>
      <c r="M90" s="167">
        <v>5</v>
      </c>
      <c r="N90" s="119">
        <f>SUM(D90:M90)</f>
        <v>166</v>
      </c>
    </row>
    <row r="91" spans="2:14" ht="15" thickBot="1" x14ac:dyDescent="0.35">
      <c r="B91" s="9"/>
      <c r="C91" s="12" t="s">
        <v>14</v>
      </c>
      <c r="D91" s="128">
        <v>0</v>
      </c>
      <c r="E91" s="128">
        <v>0</v>
      </c>
      <c r="F91" s="128">
        <v>2</v>
      </c>
      <c r="G91" s="128">
        <v>63</v>
      </c>
      <c r="H91" s="128">
        <v>25</v>
      </c>
      <c r="I91" s="128">
        <v>0</v>
      </c>
      <c r="J91" s="128">
        <v>0</v>
      </c>
      <c r="K91" s="128">
        <v>34</v>
      </c>
      <c r="L91" s="128">
        <v>0</v>
      </c>
      <c r="M91" s="169" t="s">
        <v>126</v>
      </c>
      <c r="N91" s="120">
        <f>SUM(D91:M91)</f>
        <v>124</v>
      </c>
    </row>
    <row r="92" spans="2:14" ht="15" thickTop="1" x14ac:dyDescent="0.3">
      <c r="B92" s="13"/>
      <c r="C92" s="14" t="s">
        <v>12</v>
      </c>
      <c r="D92" s="143">
        <f>SUM(D89:D91)</f>
        <v>52</v>
      </c>
      <c r="E92" s="143">
        <f t="shared" ref="E92:L92" si="6">SUM(E89,E91)</f>
        <v>29</v>
      </c>
      <c r="F92" s="143">
        <f t="shared" si="6"/>
        <v>233</v>
      </c>
      <c r="G92" s="143">
        <f t="shared" si="6"/>
        <v>438</v>
      </c>
      <c r="H92" s="143">
        <f t="shared" si="6"/>
        <v>103</v>
      </c>
      <c r="I92" s="143">
        <f t="shared" si="6"/>
        <v>0</v>
      </c>
      <c r="J92" s="143">
        <f t="shared" si="6"/>
        <v>3</v>
      </c>
      <c r="K92" s="143">
        <f t="shared" si="6"/>
        <v>224</v>
      </c>
      <c r="L92" s="143">
        <f t="shared" si="6"/>
        <v>28</v>
      </c>
      <c r="M92" s="143">
        <f>SUM(M89:M91)</f>
        <v>5</v>
      </c>
      <c r="N92" s="170">
        <f>SUM(N89,N91)</f>
        <v>1109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6">
        <v>5</v>
      </c>
      <c r="E95" s="126">
        <v>0</v>
      </c>
      <c r="F95" s="126">
        <v>12</v>
      </c>
      <c r="G95" s="150">
        <v>8</v>
      </c>
      <c r="H95" s="150">
        <v>1</v>
      </c>
      <c r="I95" s="150">
        <v>0</v>
      </c>
      <c r="J95" s="150">
        <v>0</v>
      </c>
      <c r="K95" s="150">
        <v>5</v>
      </c>
      <c r="L95" s="150">
        <v>2</v>
      </c>
      <c r="M95" s="150">
        <f>SUM(D95:L95)</f>
        <v>33</v>
      </c>
      <c r="N95" s="10"/>
    </row>
    <row r="96" spans="2:14" ht="15" thickBot="1" x14ac:dyDescent="0.35">
      <c r="B96" s="417" t="s">
        <v>177</v>
      </c>
      <c r="C96" s="418"/>
      <c r="D96" s="128"/>
      <c r="E96" s="128">
        <v>0</v>
      </c>
      <c r="F96" s="128">
        <v>0</v>
      </c>
      <c r="G96" s="174">
        <v>51</v>
      </c>
      <c r="H96" s="174">
        <v>0</v>
      </c>
      <c r="I96" s="174">
        <v>0</v>
      </c>
      <c r="J96" s="174">
        <v>0</v>
      </c>
      <c r="K96" s="174">
        <v>0</v>
      </c>
      <c r="L96" s="174">
        <v>0</v>
      </c>
      <c r="M96" s="150">
        <f t="shared" ref="M96:M97" si="7">SUM(D96:L96)</f>
        <v>51</v>
      </c>
      <c r="N96" s="10"/>
    </row>
    <row r="97" spans="1:14" ht="15" thickTop="1" x14ac:dyDescent="0.3">
      <c r="B97" s="28"/>
      <c r="C97" s="190" t="s">
        <v>29</v>
      </c>
      <c r="D97" s="171">
        <f t="shared" ref="D97:L97" si="8">SUM(D95:D96)</f>
        <v>5</v>
      </c>
      <c r="E97" s="171">
        <f t="shared" si="8"/>
        <v>0</v>
      </c>
      <c r="F97" s="171">
        <f t="shared" si="8"/>
        <v>12</v>
      </c>
      <c r="G97" s="171">
        <f t="shared" si="8"/>
        <v>59</v>
      </c>
      <c r="H97" s="171">
        <f t="shared" si="8"/>
        <v>1</v>
      </c>
      <c r="I97" s="172">
        <f t="shared" si="8"/>
        <v>0</v>
      </c>
      <c r="J97" s="171">
        <f t="shared" si="8"/>
        <v>0</v>
      </c>
      <c r="K97" s="171">
        <f t="shared" si="8"/>
        <v>5</v>
      </c>
      <c r="L97" s="171">
        <f t="shared" si="8"/>
        <v>2</v>
      </c>
      <c r="M97" s="150">
        <f t="shared" si="7"/>
        <v>84</v>
      </c>
      <c r="N97" s="10"/>
    </row>
    <row r="98" spans="1:14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</row>
    <row r="99" spans="1:14" x14ac:dyDescent="0.3">
      <c r="B99" s="374" t="s">
        <v>30</v>
      </c>
      <c r="C99" s="375"/>
      <c r="D99" s="143"/>
      <c r="E99" s="143">
        <v>0</v>
      </c>
      <c r="F99" s="143">
        <v>1</v>
      </c>
      <c r="G99" s="151">
        <v>8</v>
      </c>
      <c r="H99" s="151">
        <v>0</v>
      </c>
      <c r="I99" s="151">
        <v>0</v>
      </c>
      <c r="J99" s="151">
        <v>0</v>
      </c>
      <c r="K99" s="151">
        <v>7</v>
      </c>
      <c r="L99" s="151">
        <v>0</v>
      </c>
      <c r="M99" s="151">
        <f>SUM(D99:L99)</f>
        <v>16</v>
      </c>
      <c r="N99" s="10"/>
    </row>
    <row r="100" spans="1:14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4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419" t="s">
        <v>174</v>
      </c>
      <c r="N101" s="48"/>
    </row>
    <row r="102" spans="1:14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420"/>
      <c r="N102" s="48"/>
    </row>
    <row r="103" spans="1:14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421"/>
      <c r="N103" s="176" t="s">
        <v>12</v>
      </c>
    </row>
    <row r="104" spans="1:14" x14ac:dyDescent="0.3">
      <c r="B104" s="374" t="s">
        <v>23</v>
      </c>
      <c r="C104" s="375"/>
      <c r="D104" s="131">
        <v>2.75</v>
      </c>
      <c r="E104" s="131">
        <v>0</v>
      </c>
      <c r="F104" s="131">
        <v>3.75</v>
      </c>
      <c r="G104" s="131">
        <v>2</v>
      </c>
      <c r="H104" s="131">
        <v>0</v>
      </c>
      <c r="I104" s="131">
        <v>0</v>
      </c>
      <c r="J104" s="131">
        <v>0</v>
      </c>
      <c r="K104" s="131">
        <v>55.99</v>
      </c>
      <c r="L104" s="131">
        <v>43.5</v>
      </c>
      <c r="M104" s="132">
        <v>0</v>
      </c>
      <c r="N104" s="133">
        <f>SUM(D104:M104)</f>
        <v>107.99000000000001</v>
      </c>
    </row>
    <row r="105" spans="1:14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4" x14ac:dyDescent="0.3">
      <c r="C106" s="205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x14ac:dyDescent="0.3">
      <c r="C107" s="51" t="s">
        <v>87</v>
      </c>
      <c r="D107" s="10"/>
      <c r="E107" s="30">
        <v>639</v>
      </c>
      <c r="K107" s="10"/>
      <c r="L107" s="10"/>
      <c r="M107" s="10"/>
      <c r="N107" s="10"/>
    </row>
    <row r="108" spans="1:14" x14ac:dyDescent="0.3">
      <c r="C108" s="51" t="s">
        <v>89</v>
      </c>
      <c r="D108" s="10"/>
      <c r="E108" s="30">
        <v>81</v>
      </c>
      <c r="K108" s="10"/>
      <c r="L108" s="10"/>
      <c r="M108" s="10"/>
      <c r="N108" s="10"/>
    </row>
    <row r="109" spans="1:14" x14ac:dyDescent="0.3">
      <c r="C109" s="51" t="s">
        <v>91</v>
      </c>
      <c r="D109" s="10"/>
      <c r="E109" s="30">
        <v>17</v>
      </c>
      <c r="K109" s="10"/>
      <c r="L109" s="10"/>
      <c r="M109" s="10"/>
      <c r="N109" s="10"/>
    </row>
    <row r="110" spans="1:14" x14ac:dyDescent="0.3">
      <c r="C110" s="51" t="s">
        <v>94</v>
      </c>
      <c r="D110" s="10"/>
      <c r="E110" s="30">
        <v>6</v>
      </c>
      <c r="K110" s="10"/>
      <c r="L110" s="10"/>
      <c r="M110" s="10"/>
      <c r="N110" s="10"/>
    </row>
    <row r="111" spans="1:14" x14ac:dyDescent="0.3">
      <c r="C111" s="52" t="s">
        <v>448</v>
      </c>
      <c r="D111" s="15"/>
      <c r="E111" s="16">
        <v>20</v>
      </c>
      <c r="K111" s="10"/>
      <c r="L111" s="10"/>
      <c r="M111" s="10"/>
      <c r="N111" s="10"/>
    </row>
    <row r="112" spans="1:14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31">
        <v>74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31">
        <v>57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6">
        <v>0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37">
        <f>344+48</f>
        <v>392</v>
      </c>
    </row>
    <row r="120" spans="2:14" x14ac:dyDescent="0.3">
      <c r="C120" s="9" t="s">
        <v>20</v>
      </c>
      <c r="D120" s="10"/>
      <c r="E120" s="137">
        <v>161</v>
      </c>
    </row>
    <row r="121" spans="2:14" x14ac:dyDescent="0.3">
      <c r="C121" s="9" t="s">
        <v>19</v>
      </c>
      <c r="D121" s="10"/>
      <c r="E121" s="137">
        <v>7</v>
      </c>
    </row>
    <row r="122" spans="2:14" x14ac:dyDescent="0.3">
      <c r="C122" s="9" t="s">
        <v>93</v>
      </c>
      <c r="D122" s="10"/>
      <c r="E122" s="137">
        <f>347+53</f>
        <v>400</v>
      </c>
    </row>
    <row r="123" spans="2:14" x14ac:dyDescent="0.3">
      <c r="C123" s="13" t="s">
        <v>96</v>
      </c>
      <c r="D123" s="15"/>
      <c r="E123" s="138">
        <v>0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37">
        <f>3</f>
        <v>3</v>
      </c>
    </row>
    <row r="127" spans="2:14" x14ac:dyDescent="0.3">
      <c r="C127" s="51" t="s">
        <v>88</v>
      </c>
      <c r="D127" s="10"/>
      <c r="E127" s="137">
        <v>9</v>
      </c>
    </row>
    <row r="128" spans="2:14" x14ac:dyDescent="0.3">
      <c r="C128" s="51" t="s">
        <v>90</v>
      </c>
      <c r="D128" s="10"/>
      <c r="E128" s="137">
        <f>22</f>
        <v>22</v>
      </c>
    </row>
    <row r="129" spans="3:14" x14ac:dyDescent="0.3">
      <c r="C129" s="51" t="s">
        <v>92</v>
      </c>
      <c r="D129" s="12"/>
      <c r="E129" s="137">
        <f>679+100+2</f>
        <v>781</v>
      </c>
    </row>
    <row r="130" spans="3:14" x14ac:dyDescent="0.3">
      <c r="C130" s="51" t="s">
        <v>95</v>
      </c>
      <c r="D130" s="12"/>
      <c r="E130" s="137">
        <f>24+6+3</f>
        <v>33</v>
      </c>
      <c r="F130" s="98"/>
      <c r="G130" s="98"/>
      <c r="H130" s="98"/>
      <c r="I130" s="98"/>
      <c r="J130" s="98"/>
      <c r="K130" s="155"/>
      <c r="L130" s="98"/>
      <c r="M130" s="98"/>
      <c r="N130" s="98"/>
    </row>
    <row r="131" spans="3:14" x14ac:dyDescent="0.3">
      <c r="C131" s="51" t="s">
        <v>98</v>
      </c>
      <c r="D131" s="12"/>
      <c r="E131" s="137">
        <v>0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4" x14ac:dyDescent="0.3">
      <c r="C132" s="51" t="s">
        <v>99</v>
      </c>
      <c r="D132" s="11"/>
      <c r="E132" s="137">
        <v>19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4" x14ac:dyDescent="0.3">
      <c r="C133" s="51" t="s">
        <v>100</v>
      </c>
      <c r="D133" s="10"/>
      <c r="E133" s="137">
        <v>2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4" x14ac:dyDescent="0.3">
      <c r="C134" s="50" t="s">
        <v>102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4" x14ac:dyDescent="0.3">
      <c r="C135" s="50" t="s">
        <v>148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4" x14ac:dyDescent="0.3">
      <c r="C136" s="50" t="s">
        <v>104</v>
      </c>
      <c r="D136" s="12"/>
      <c r="E136" s="137">
        <v>0</v>
      </c>
    </row>
    <row r="137" spans="3:14" x14ac:dyDescent="0.3">
      <c r="C137" s="50" t="s">
        <v>25</v>
      </c>
      <c r="D137" s="10"/>
      <c r="E137" s="139">
        <v>14</v>
      </c>
    </row>
    <row r="138" spans="3:14" x14ac:dyDescent="0.3">
      <c r="C138" s="50" t="s">
        <v>149</v>
      </c>
      <c r="D138" s="10"/>
      <c r="E138" s="139">
        <v>0</v>
      </c>
    </row>
    <row r="139" spans="3:14" x14ac:dyDescent="0.3">
      <c r="C139" s="52" t="s">
        <v>26</v>
      </c>
      <c r="D139" s="15"/>
      <c r="E139" s="138">
        <f>311+60+102</f>
        <v>473</v>
      </c>
    </row>
    <row r="140" spans="3:14" x14ac:dyDescent="0.3">
      <c r="E140" s="57"/>
      <c r="F140" s="57"/>
    </row>
    <row r="141" spans="3:14" x14ac:dyDescent="0.3">
      <c r="C141" s="19" t="s">
        <v>119</v>
      </c>
      <c r="D141" s="20"/>
      <c r="E141" s="228"/>
      <c r="F141" s="228"/>
      <c r="G141" s="227"/>
    </row>
    <row r="142" spans="3:14" x14ac:dyDescent="0.3">
      <c r="C142" s="99"/>
      <c r="D142" s="147"/>
      <c r="E142" s="100"/>
      <c r="F142" s="153" t="s">
        <v>171</v>
      </c>
      <c r="G142" s="30"/>
    </row>
    <row r="143" spans="3:14" x14ac:dyDescent="0.3">
      <c r="C143" s="51"/>
      <c r="D143" s="10"/>
      <c r="E143" s="224" t="s">
        <v>120</v>
      </c>
      <c r="F143" s="192" t="s">
        <v>172</v>
      </c>
      <c r="G143" s="193" t="s">
        <v>12</v>
      </c>
    </row>
    <row r="144" spans="3:14" x14ac:dyDescent="0.3">
      <c r="C144" s="158" t="s">
        <v>121</v>
      </c>
      <c r="D144" s="161"/>
      <c r="E144" s="126">
        <v>2</v>
      </c>
      <c r="F144" s="126">
        <v>0</v>
      </c>
      <c r="G144" s="157">
        <f>SUM(E144:F144)</f>
        <v>2</v>
      </c>
    </row>
    <row r="145" spans="2:14" x14ac:dyDescent="0.3">
      <c r="C145" s="199" t="s">
        <v>13</v>
      </c>
      <c r="D145" s="163"/>
      <c r="E145" s="126">
        <v>0</v>
      </c>
      <c r="F145" s="126">
        <v>0</v>
      </c>
      <c r="G145" s="157">
        <f t="shared" ref="G145:G148" si="9">SUM(E145:F145)</f>
        <v>0</v>
      </c>
    </row>
    <row r="146" spans="2:14" x14ac:dyDescent="0.3">
      <c r="C146" s="199" t="s">
        <v>122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3">
      <c r="C147" s="158" t="s">
        <v>124</v>
      </c>
      <c r="D147" s="162"/>
      <c r="E147" s="127">
        <v>19</v>
      </c>
      <c r="F147" s="127">
        <v>0</v>
      </c>
      <c r="G147" s="157">
        <f t="shared" si="9"/>
        <v>19</v>
      </c>
      <c r="L147" s="10"/>
      <c r="M147" s="29"/>
    </row>
    <row r="148" spans="2:14" x14ac:dyDescent="0.3">
      <c r="C148" s="159" t="s">
        <v>13</v>
      </c>
      <c r="D148" s="158"/>
      <c r="E148" s="127">
        <v>2</v>
      </c>
      <c r="F148" s="127" t="s">
        <v>126</v>
      </c>
      <c r="G148" s="157">
        <f t="shared" si="9"/>
        <v>2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42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213" t="s">
        <v>153</v>
      </c>
    </row>
    <row r="152" spans="2:14" x14ac:dyDescent="0.3">
      <c r="B152" s="401" t="s">
        <v>180</v>
      </c>
      <c r="C152" s="402"/>
      <c r="D152" s="403"/>
      <c r="E152" s="404"/>
      <c r="F152" s="194"/>
      <c r="G152" s="410" t="s">
        <v>219</v>
      </c>
      <c r="H152" s="411"/>
      <c r="I152" s="411"/>
    </row>
    <row r="153" spans="2:14" ht="30" customHeight="1" x14ac:dyDescent="0.3">
      <c r="B153" s="399"/>
      <c r="C153" s="400"/>
      <c r="D153" s="385"/>
      <c r="E153" s="386"/>
      <c r="F153" s="106"/>
    </row>
    <row r="154" spans="2:14" ht="29.25" customHeight="1" x14ac:dyDescent="0.3">
      <c r="B154" s="372" t="s">
        <v>169</v>
      </c>
      <c r="C154" s="373"/>
      <c r="D154" s="370">
        <v>156</v>
      </c>
      <c r="E154" s="371"/>
      <c r="F154" s="107"/>
    </row>
    <row r="155" spans="2:14" ht="25.5" customHeight="1" x14ac:dyDescent="0.3">
      <c r="B155" s="412" t="s">
        <v>183</v>
      </c>
      <c r="C155" s="413"/>
      <c r="D155" s="370">
        <v>647</v>
      </c>
      <c r="E155" s="371"/>
      <c r="F155" s="107"/>
    </row>
    <row r="156" spans="2:14" x14ac:dyDescent="0.3">
      <c r="B156" s="372" t="s">
        <v>154</v>
      </c>
      <c r="C156" s="373"/>
      <c r="D156" s="370">
        <v>2570</v>
      </c>
      <c r="E156" s="371"/>
      <c r="F156" s="107"/>
    </row>
    <row r="157" spans="2:14" x14ac:dyDescent="0.3">
      <c r="B157" s="372" t="s">
        <v>155</v>
      </c>
      <c r="C157" s="373"/>
      <c r="D157" s="370">
        <v>50</v>
      </c>
      <c r="E157" s="371"/>
      <c r="F157" s="107"/>
    </row>
    <row r="158" spans="2:14" x14ac:dyDescent="0.3">
      <c r="B158" s="372" t="s">
        <v>156</v>
      </c>
      <c r="C158" s="373"/>
      <c r="D158" s="370">
        <v>2983</v>
      </c>
      <c r="E158" s="371"/>
      <c r="F158" s="107"/>
    </row>
    <row r="159" spans="2:14" x14ac:dyDescent="0.3">
      <c r="B159" s="372" t="s">
        <v>123</v>
      </c>
      <c r="C159" s="373"/>
      <c r="D159" s="370">
        <v>50</v>
      </c>
      <c r="E159" s="371"/>
      <c r="F159" s="107"/>
    </row>
    <row r="160" spans="2:14" x14ac:dyDescent="0.3">
      <c r="B160" s="372" t="s">
        <v>125</v>
      </c>
      <c r="C160" s="373"/>
      <c r="D160" s="370">
        <v>31</v>
      </c>
      <c r="E160" s="371"/>
      <c r="F160" s="107"/>
    </row>
    <row r="161" spans="2:14" x14ac:dyDescent="0.3">
      <c r="B161" s="372" t="s">
        <v>110</v>
      </c>
      <c r="C161" s="373"/>
      <c r="D161" s="370">
        <v>24</v>
      </c>
      <c r="E161" s="371"/>
      <c r="F161" s="107">
        <v>17</v>
      </c>
    </row>
    <row r="162" spans="2:14" x14ac:dyDescent="0.3">
      <c r="B162" s="372" t="s">
        <v>157</v>
      </c>
      <c r="C162" s="373"/>
      <c r="D162" s="370">
        <v>137</v>
      </c>
      <c r="E162" s="371"/>
      <c r="F162" s="107"/>
    </row>
    <row r="163" spans="2:14" ht="28.5" customHeight="1" x14ac:dyDescent="0.3">
      <c r="B163" s="372" t="s">
        <v>128</v>
      </c>
      <c r="C163" s="373"/>
      <c r="D163" s="370">
        <v>18</v>
      </c>
      <c r="E163" s="371"/>
      <c r="F163" s="107"/>
    </row>
    <row r="164" spans="2:14" ht="43.5" customHeight="1" x14ac:dyDescent="0.3">
      <c r="B164" s="395" t="s">
        <v>158</v>
      </c>
      <c r="C164" s="396"/>
      <c r="D164" s="353">
        <v>520</v>
      </c>
      <c r="E164" s="354"/>
      <c r="F164" s="108"/>
    </row>
    <row r="165" spans="2:14" ht="44.25" customHeight="1" x14ac:dyDescent="0.3">
      <c r="B165" s="395" t="s">
        <v>159</v>
      </c>
      <c r="C165" s="396"/>
      <c r="D165" s="353">
        <v>754</v>
      </c>
      <c r="E165" s="354"/>
      <c r="F165" s="108"/>
    </row>
    <row r="166" spans="2:14" ht="30" customHeight="1" x14ac:dyDescent="0.3">
      <c r="B166" s="397" t="s">
        <v>160</v>
      </c>
      <c r="C166" s="398"/>
      <c r="D166" s="355">
        <v>42</v>
      </c>
      <c r="E166" s="356"/>
      <c r="F166" s="109"/>
    </row>
    <row r="167" spans="2:14" ht="30.75" customHeight="1" x14ac:dyDescent="0.3">
      <c r="B167" s="387" t="s">
        <v>161</v>
      </c>
      <c r="C167" s="388"/>
      <c r="D167" s="357">
        <v>32</v>
      </c>
      <c r="E167" s="358"/>
      <c r="F167" s="110"/>
    </row>
    <row r="168" spans="2:14" ht="30" customHeight="1" x14ac:dyDescent="0.3">
      <c r="B168" s="387" t="s">
        <v>162</v>
      </c>
      <c r="C168" s="388"/>
      <c r="D168" s="357">
        <v>323</v>
      </c>
      <c r="E168" s="358"/>
      <c r="F168" s="110"/>
    </row>
    <row r="169" spans="2:14" ht="30.75" customHeight="1" x14ac:dyDescent="0.3">
      <c r="B169" s="372" t="s">
        <v>163</v>
      </c>
      <c r="C169" s="373"/>
      <c r="D169" s="370">
        <v>1164</v>
      </c>
      <c r="E169" s="371"/>
      <c r="F169" s="107"/>
      <c r="G169" t="s">
        <v>188</v>
      </c>
      <c r="H169" t="s">
        <v>188</v>
      </c>
      <c r="I169" t="s">
        <v>188</v>
      </c>
      <c r="J169" t="s">
        <v>188</v>
      </c>
      <c r="K169" t="s">
        <v>188</v>
      </c>
      <c r="L169" t="s">
        <v>188</v>
      </c>
      <c r="M169" t="s">
        <v>188</v>
      </c>
      <c r="N169" t="s">
        <v>188</v>
      </c>
    </row>
    <row r="170" spans="2:14" x14ac:dyDescent="0.3">
      <c r="B170" s="391"/>
      <c r="C170" s="392"/>
      <c r="D170" s="347"/>
      <c r="E170" s="348"/>
      <c r="F170" s="112"/>
      <c r="L170" s="18"/>
      <c r="M170" s="17"/>
    </row>
    <row r="171" spans="2:14" x14ac:dyDescent="0.3">
      <c r="B171" s="393" t="s">
        <v>127</v>
      </c>
      <c r="C171" s="394"/>
      <c r="D171" s="349">
        <v>128</v>
      </c>
      <c r="E171" s="350"/>
      <c r="F171" s="113"/>
      <c r="K171" s="29"/>
    </row>
    <row r="172" spans="2:14" x14ac:dyDescent="0.3">
      <c r="B172" s="381" t="s">
        <v>164</v>
      </c>
      <c r="C172" s="382"/>
      <c r="D172" s="351">
        <v>175</v>
      </c>
      <c r="E172" s="352"/>
      <c r="F172" s="114"/>
      <c r="K172" s="17"/>
    </row>
    <row r="173" spans="2:14" x14ac:dyDescent="0.3">
      <c r="B173" s="381" t="s">
        <v>116</v>
      </c>
      <c r="C173" s="382"/>
      <c r="D173" s="351"/>
      <c r="E173" s="352"/>
      <c r="F173" s="114">
        <v>382</v>
      </c>
    </row>
    <row r="174" spans="2:14" ht="15" thickBot="1" x14ac:dyDescent="0.35">
      <c r="B174" s="383" t="s">
        <v>165</v>
      </c>
      <c r="C174" s="384"/>
      <c r="D174" s="341"/>
      <c r="E174" s="342"/>
      <c r="F174" s="185"/>
      <c r="G174" t="s">
        <v>220</v>
      </c>
    </row>
    <row r="175" spans="2:14" ht="16.2" thickTop="1" x14ac:dyDescent="0.3">
      <c r="B175" s="254" t="s">
        <v>29</v>
      </c>
      <c r="C175" s="165"/>
      <c r="D175" s="343">
        <f>SUM(D152:D174)</f>
        <v>9804</v>
      </c>
      <c r="E175" s="344"/>
      <c r="F175" s="184">
        <f>SUM(F152:F174)</f>
        <v>399</v>
      </c>
      <c r="L175" s="12"/>
      <c r="M175" s="10"/>
      <c r="N175" s="10"/>
    </row>
    <row r="176" spans="2:14" x14ac:dyDescent="0.3">
      <c r="D176" s="17"/>
      <c r="M176" s="54"/>
      <c r="N176" s="58"/>
    </row>
    <row r="177" spans="2:14" x14ac:dyDescent="0.3">
      <c r="C177" s="205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2:14" x14ac:dyDescent="0.3">
      <c r="C178" s="38" t="s">
        <v>110</v>
      </c>
      <c r="D178" s="152"/>
      <c r="E178" s="126">
        <v>24</v>
      </c>
      <c r="F178" s="337">
        <v>17</v>
      </c>
      <c r="G178" s="338"/>
      <c r="L178" s="54"/>
      <c r="M178" s="54"/>
      <c r="N178" s="58"/>
    </row>
    <row r="179" spans="2:14" x14ac:dyDescent="0.3">
      <c r="L179" s="54"/>
      <c r="M179" s="54"/>
      <c r="N179" s="58"/>
    </row>
    <row r="180" spans="2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2:14" x14ac:dyDescent="0.3">
      <c r="C181" s="345" t="s">
        <v>113</v>
      </c>
      <c r="D181" s="346"/>
      <c r="E181" s="126">
        <v>2983</v>
      </c>
      <c r="F181" s="126"/>
      <c r="I181" s="29"/>
      <c r="J181" s="29"/>
      <c r="K181" s="54"/>
      <c r="L181" s="54"/>
      <c r="M181" s="58"/>
    </row>
    <row r="182" spans="2:14" x14ac:dyDescent="0.3">
      <c r="C182" s="415" t="s">
        <v>114</v>
      </c>
      <c r="D182" s="416"/>
      <c r="E182" s="126">
        <v>2570</v>
      </c>
      <c r="F182" s="126"/>
      <c r="K182" s="54"/>
      <c r="L182" s="54"/>
      <c r="M182" s="58"/>
    </row>
    <row r="183" spans="2:14" x14ac:dyDescent="0.3">
      <c r="C183" s="345" t="s">
        <v>115</v>
      </c>
      <c r="D183" s="346"/>
      <c r="E183" s="141">
        <v>175</v>
      </c>
      <c r="F183" s="142"/>
      <c r="I183" s="58"/>
      <c r="J183" s="58"/>
      <c r="K183" s="54"/>
      <c r="L183" s="54"/>
      <c r="M183" s="58"/>
    </row>
    <row r="184" spans="2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3">
      <c r="B185" s="121" t="s">
        <v>175</v>
      </c>
      <c r="C185" s="146"/>
      <c r="E185" t="s">
        <v>449</v>
      </c>
    </row>
    <row r="186" spans="2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3">
      <c r="C187" s="13" t="s">
        <v>131</v>
      </c>
      <c r="D187" s="143">
        <f>62+2+4+2+3+9</f>
        <v>82</v>
      </c>
      <c r="E187" s="143">
        <f>45+7+5+1+2+8</f>
        <v>68</v>
      </c>
      <c r="F187" s="143">
        <f>345+30+26+1+6+43</f>
        <v>451</v>
      </c>
      <c r="G187" s="177">
        <f>283+52+34+1+6+46</f>
        <v>422</v>
      </c>
      <c r="H187" s="177">
        <f>161+9+10+12</f>
        <v>192</v>
      </c>
      <c r="I187" s="177">
        <v>0</v>
      </c>
      <c r="J187" s="177">
        <f>82+11+6+1+3</f>
        <v>103</v>
      </c>
      <c r="K187" s="177">
        <f>149+12+15+1+8</f>
        <v>185</v>
      </c>
      <c r="L187" s="177">
        <f>247+48+25+3+3+30</f>
        <v>356</v>
      </c>
      <c r="M187" s="177">
        <f>SUM(D187:L187)</f>
        <v>1859</v>
      </c>
    </row>
    <row r="188" spans="2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6">
        <f>71+12+9+10</f>
        <v>102</v>
      </c>
      <c r="H188" s="126" t="s">
        <v>126</v>
      </c>
      <c r="I188" s="126" t="s">
        <v>126</v>
      </c>
      <c r="J188" s="126" t="s">
        <v>126</v>
      </c>
      <c r="K188" s="126">
        <f>174+18+16+1+1+7</f>
        <v>217</v>
      </c>
      <c r="L188" s="126">
        <f>328+32+24+6+4+26</f>
        <v>420</v>
      </c>
      <c r="M188" s="127">
        <f>SUM(D188:L188)</f>
        <v>739</v>
      </c>
    </row>
    <row r="189" spans="2:14" ht="15" thickBot="1" x14ac:dyDescent="0.35">
      <c r="C189" s="38" t="s">
        <v>132</v>
      </c>
      <c r="D189" s="128"/>
      <c r="E189" s="128"/>
      <c r="F189" s="128">
        <f>1</f>
        <v>1</v>
      </c>
      <c r="G189" s="128">
        <v>1</v>
      </c>
      <c r="H189" s="144"/>
      <c r="I189" s="144"/>
      <c r="J189" s="128"/>
      <c r="K189" s="128"/>
      <c r="L189" s="144"/>
      <c r="M189" s="144">
        <f>SUM(D189:L189)</f>
        <v>2</v>
      </c>
    </row>
    <row r="190" spans="2:14" ht="15" thickTop="1" x14ac:dyDescent="0.3">
      <c r="C190" s="38" t="s">
        <v>12</v>
      </c>
      <c r="D190" s="143">
        <f>SUM(D187:D189)</f>
        <v>82</v>
      </c>
      <c r="E190" s="143">
        <f>SUM(E187:E189)</f>
        <v>68</v>
      </c>
      <c r="F190" s="143">
        <f t="shared" ref="F190:L190" si="10">SUM(F187:F189)</f>
        <v>452</v>
      </c>
      <c r="G190" s="143">
        <f t="shared" si="10"/>
        <v>525</v>
      </c>
      <c r="H190" s="177">
        <f t="shared" si="10"/>
        <v>192</v>
      </c>
      <c r="I190" s="143">
        <f t="shared" si="10"/>
        <v>0</v>
      </c>
      <c r="J190" s="143">
        <f t="shared" si="10"/>
        <v>103</v>
      </c>
      <c r="K190" s="143">
        <f t="shared" si="10"/>
        <v>402</v>
      </c>
      <c r="L190" s="177">
        <f t="shared" si="10"/>
        <v>776</v>
      </c>
      <c r="M190" s="177">
        <f>SUM(D190:L190)</f>
        <v>2600</v>
      </c>
    </row>
    <row r="191" spans="2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3">
      <c r="B192" s="339" t="s">
        <v>133</v>
      </c>
      <c r="C192" s="340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7.399999999999999" x14ac:dyDescent="0.3">
      <c r="B194" s="121" t="s">
        <v>176</v>
      </c>
      <c r="C194" s="148"/>
      <c r="D194" s="55"/>
      <c r="G194" s="60"/>
      <c r="H194" s="5"/>
      <c r="I194" s="61"/>
      <c r="J194" s="61"/>
      <c r="K194" s="5"/>
    </row>
    <row r="195" spans="2:14" ht="17.399999999999999" x14ac:dyDescent="0.3">
      <c r="B195" s="62" t="s">
        <v>134</v>
      </c>
      <c r="C195" s="63"/>
      <c r="D195" s="63"/>
      <c r="E195" s="64"/>
      <c r="F195" s="64"/>
      <c r="G195" s="65"/>
      <c r="H195" s="63" t="s">
        <v>135</v>
      </c>
      <c r="I195" s="66"/>
      <c r="J195" s="66"/>
      <c r="K195" s="66"/>
      <c r="L195" s="64"/>
      <c r="M195" s="64"/>
      <c r="N195" s="67"/>
    </row>
    <row r="196" spans="2:14" ht="17.399999999999999" x14ac:dyDescent="0.3">
      <c r="B196" s="68" t="s">
        <v>422</v>
      </c>
      <c r="D196" s="22"/>
      <c r="E196" s="22"/>
      <c r="F196" s="22"/>
      <c r="G196" s="69"/>
      <c r="H196" s="70" t="s">
        <v>438</v>
      </c>
      <c r="I196" s="71"/>
      <c r="J196" s="72"/>
      <c r="K196" s="73"/>
      <c r="L196" s="74"/>
      <c r="M196" s="74"/>
      <c r="N196" s="75"/>
    </row>
    <row r="197" spans="2:14" ht="17.399999999999999" x14ac:dyDescent="0.3">
      <c r="B197" s="68" t="s">
        <v>426</v>
      </c>
      <c r="D197" s="22"/>
      <c r="E197" s="22"/>
      <c r="F197" s="22"/>
      <c r="G197" s="69"/>
      <c r="H197" s="70" t="s">
        <v>440</v>
      </c>
      <c r="I197" s="71"/>
      <c r="J197" s="72"/>
      <c r="K197" s="73"/>
      <c r="L197" s="74"/>
      <c r="M197" s="74"/>
      <c r="N197" s="75"/>
    </row>
    <row r="198" spans="2:14" ht="17.399999999999999" x14ac:dyDescent="0.3">
      <c r="B198" s="68" t="s">
        <v>427</v>
      </c>
      <c r="D198" s="22"/>
      <c r="E198" s="22"/>
      <c r="F198" s="22"/>
      <c r="G198" s="69"/>
      <c r="H198" s="70" t="s">
        <v>441</v>
      </c>
      <c r="I198" s="71"/>
      <c r="J198" s="72"/>
      <c r="K198" s="73"/>
      <c r="L198" s="74"/>
      <c r="M198" s="74"/>
      <c r="N198" s="75"/>
    </row>
    <row r="199" spans="2:14" ht="17.399999999999999" x14ac:dyDescent="0.3">
      <c r="B199" s="68"/>
      <c r="D199" s="22"/>
      <c r="E199" s="22"/>
      <c r="F199" s="22"/>
      <c r="G199" s="69"/>
      <c r="H199" s="70" t="s">
        <v>442</v>
      </c>
      <c r="I199" s="71"/>
      <c r="J199" s="72"/>
      <c r="K199" s="73"/>
      <c r="L199" s="74"/>
      <c r="M199" s="74"/>
      <c r="N199" s="75"/>
    </row>
    <row r="200" spans="2:14" ht="17.399999999999999" x14ac:dyDescent="0.3">
      <c r="B200" s="78" t="s">
        <v>136</v>
      </c>
      <c r="D200" s="22"/>
      <c r="E200" s="22"/>
      <c r="F200" s="22"/>
      <c r="G200" s="69"/>
      <c r="H200" s="70" t="s">
        <v>443</v>
      </c>
      <c r="I200" s="71"/>
      <c r="J200" s="72"/>
      <c r="K200" s="73"/>
      <c r="L200" s="74"/>
      <c r="M200" s="74"/>
      <c r="N200" s="75"/>
    </row>
    <row r="201" spans="2:14" x14ac:dyDescent="0.3">
      <c r="B201" s="80" t="s">
        <v>456</v>
      </c>
      <c r="C201" s="22"/>
      <c r="D201" s="22"/>
      <c r="E201" s="22"/>
      <c r="F201" s="22"/>
      <c r="G201" s="72"/>
      <c r="H201" s="70"/>
      <c r="I201" s="72"/>
      <c r="J201" s="72"/>
      <c r="K201" s="72"/>
      <c r="L201" s="76"/>
      <c r="M201" s="76"/>
      <c r="N201" s="77"/>
    </row>
    <row r="202" spans="2:14" x14ac:dyDescent="0.3">
      <c r="B202" s="80" t="s">
        <v>454</v>
      </c>
      <c r="C202" s="22"/>
      <c r="D202" s="22"/>
      <c r="E202" s="22"/>
      <c r="F202" s="22"/>
      <c r="G202" s="69"/>
      <c r="H202" s="79" t="s">
        <v>168</v>
      </c>
      <c r="J202" s="72"/>
      <c r="K202" s="72"/>
      <c r="L202" s="76"/>
      <c r="M202" s="76"/>
      <c r="N202" s="77"/>
    </row>
    <row r="203" spans="2:14" x14ac:dyDescent="0.3">
      <c r="B203" s="80" t="s">
        <v>425</v>
      </c>
      <c r="C203" s="22"/>
      <c r="D203" s="22"/>
      <c r="E203" s="22"/>
      <c r="F203" s="22"/>
      <c r="G203" s="69"/>
      <c r="H203" s="85" t="s">
        <v>423</v>
      </c>
      <c r="J203" s="72"/>
      <c r="K203" s="72"/>
      <c r="L203" s="76"/>
      <c r="M203" s="76"/>
      <c r="N203" s="77"/>
    </row>
    <row r="204" spans="2:14" x14ac:dyDescent="0.3">
      <c r="B204" s="256" t="s">
        <v>452</v>
      </c>
      <c r="C204" s="22"/>
      <c r="D204" s="22"/>
      <c r="E204" s="22"/>
      <c r="F204" s="22"/>
      <c r="G204" s="69"/>
      <c r="H204" s="85" t="s">
        <v>437</v>
      </c>
      <c r="J204" s="72"/>
      <c r="K204" s="72"/>
      <c r="L204" s="76"/>
      <c r="M204" s="76"/>
      <c r="N204" s="77"/>
    </row>
    <row r="205" spans="2:14" x14ac:dyDescent="0.3">
      <c r="B205" s="117" t="s">
        <v>453</v>
      </c>
      <c r="C205" s="10"/>
      <c r="D205" s="10"/>
      <c r="E205" s="10"/>
      <c r="F205" s="10"/>
      <c r="G205" s="10"/>
      <c r="H205" s="85" t="s">
        <v>445</v>
      </c>
      <c r="J205" s="10"/>
      <c r="K205" s="10"/>
      <c r="L205" s="10"/>
      <c r="M205" s="10"/>
      <c r="N205" s="30"/>
    </row>
    <row r="206" spans="2:14" ht="17.399999999999999" x14ac:dyDescent="0.3">
      <c r="B206" s="80" t="s">
        <v>430</v>
      </c>
      <c r="C206" s="82"/>
      <c r="D206" s="22"/>
      <c r="E206" s="22"/>
      <c r="F206" s="22"/>
      <c r="G206" s="72"/>
      <c r="J206" s="71"/>
      <c r="K206" s="83"/>
      <c r="L206" s="22"/>
      <c r="M206" s="22"/>
      <c r="N206" s="84"/>
    </row>
    <row r="207" spans="2:14" ht="17.399999999999999" x14ac:dyDescent="0.3">
      <c r="B207" s="81" t="s">
        <v>455</v>
      </c>
      <c r="C207" s="22"/>
      <c r="D207" s="22"/>
      <c r="E207" s="22"/>
      <c r="F207" s="22"/>
      <c r="G207" s="72"/>
      <c r="I207" s="71"/>
      <c r="J207" s="72"/>
      <c r="K207" s="72"/>
      <c r="L207" s="22"/>
      <c r="M207" s="22"/>
      <c r="N207" s="84"/>
    </row>
    <row r="208" spans="2:14" ht="17.399999999999999" x14ac:dyDescent="0.3">
      <c r="B208" s="81" t="s">
        <v>432</v>
      </c>
      <c r="C208" s="82"/>
      <c r="D208" s="22"/>
      <c r="E208" s="22"/>
      <c r="F208" s="22"/>
      <c r="G208" s="22"/>
      <c r="H208" s="85"/>
      <c r="I208" s="71"/>
      <c r="J208" s="71"/>
      <c r="K208" s="71"/>
      <c r="L208" s="71"/>
      <c r="M208" s="22"/>
      <c r="N208" s="84"/>
    </row>
    <row r="209" spans="2:14" x14ac:dyDescent="0.3">
      <c r="B209" s="197" t="s">
        <v>457</v>
      </c>
      <c r="C209" s="22"/>
      <c r="D209" s="79"/>
      <c r="E209" s="22"/>
      <c r="F209" s="79"/>
      <c r="G209" s="86"/>
      <c r="H209" s="70"/>
      <c r="I209" s="10"/>
      <c r="J209" s="72"/>
      <c r="K209" s="72"/>
      <c r="L209" s="22"/>
      <c r="M209" s="22"/>
      <c r="N209" s="84"/>
    </row>
    <row r="210" spans="2:14" x14ac:dyDescent="0.3">
      <c r="B210" s="197" t="s">
        <v>458</v>
      </c>
      <c r="C210" s="22"/>
      <c r="D210" s="79"/>
      <c r="E210" s="22"/>
      <c r="F210" s="79"/>
      <c r="G210" s="86"/>
      <c r="H210" s="70"/>
      <c r="I210" s="10"/>
      <c r="J210" s="72"/>
      <c r="K210" s="72"/>
      <c r="L210" s="22"/>
      <c r="M210" s="22"/>
      <c r="N210" s="84"/>
    </row>
    <row r="211" spans="2:14" x14ac:dyDescent="0.3">
      <c r="B211" s="9"/>
      <c r="C211" s="22"/>
      <c r="D211" s="22"/>
      <c r="E211" s="22"/>
      <c r="F211" s="22"/>
      <c r="G211" s="86"/>
      <c r="H211" s="70"/>
      <c r="I211" s="10"/>
      <c r="J211" s="72"/>
      <c r="K211" s="72"/>
      <c r="L211" s="22"/>
      <c r="M211" s="22"/>
      <c r="N211" s="84"/>
    </row>
    <row r="212" spans="2:14" x14ac:dyDescent="0.3">
      <c r="B212" s="87" t="s">
        <v>137</v>
      </c>
      <c r="C212" s="22"/>
      <c r="D212" s="22"/>
      <c r="E212" s="22"/>
      <c r="F212" s="22"/>
      <c r="G212" s="86"/>
      <c r="H212" s="88" t="s">
        <v>138</v>
      </c>
      <c r="L212" s="22"/>
      <c r="M212" s="22"/>
      <c r="N212" s="84"/>
    </row>
    <row r="213" spans="2:14" ht="17.399999999999999" x14ac:dyDescent="0.3">
      <c r="B213" s="80" t="s">
        <v>450</v>
      </c>
      <c r="C213" s="10"/>
      <c r="D213" s="10"/>
      <c r="E213" s="10"/>
      <c r="F213" s="10"/>
      <c r="G213" s="69"/>
      <c r="H213" s="70" t="s">
        <v>431</v>
      </c>
      <c r="I213" s="10"/>
      <c r="J213" s="71"/>
      <c r="K213" s="71"/>
      <c r="L213" s="22"/>
      <c r="M213" s="22"/>
      <c r="N213" s="84"/>
    </row>
    <row r="214" spans="2:14" x14ac:dyDescent="0.3">
      <c r="B214" s="329" t="s">
        <v>451</v>
      </c>
      <c r="C214" s="22"/>
      <c r="D214" s="22"/>
      <c r="E214" s="22"/>
      <c r="F214" s="22"/>
      <c r="G214" s="69"/>
      <c r="H214" s="70" t="s">
        <v>446</v>
      </c>
      <c r="I214" s="10"/>
      <c r="J214" s="72"/>
      <c r="K214" s="72"/>
      <c r="L214" s="76"/>
      <c r="M214" s="76"/>
      <c r="N214" s="77"/>
    </row>
    <row r="215" spans="2:14" x14ac:dyDescent="0.3">
      <c r="B215" s="81" t="s">
        <v>424</v>
      </c>
      <c r="C215" s="22"/>
      <c r="D215" s="22"/>
      <c r="E215" s="22"/>
      <c r="F215" s="22"/>
      <c r="G215" s="69"/>
      <c r="H215" s="70" t="s">
        <v>447</v>
      </c>
      <c r="I215" s="10"/>
      <c r="J215" s="72"/>
      <c r="K215" s="72"/>
      <c r="L215" s="76"/>
      <c r="M215" s="76"/>
      <c r="N215" s="77"/>
    </row>
    <row r="216" spans="2:14" x14ac:dyDescent="0.3">
      <c r="B216" s="81" t="s">
        <v>429</v>
      </c>
      <c r="C216" s="22"/>
      <c r="D216" s="22"/>
      <c r="E216" s="22"/>
      <c r="F216" s="22"/>
      <c r="G216" s="69"/>
      <c r="H216" s="331" t="s">
        <v>439</v>
      </c>
      <c r="I216" s="10"/>
      <c r="J216" s="72"/>
      <c r="L216" s="76"/>
      <c r="M216" s="76"/>
      <c r="N216" s="77"/>
    </row>
    <row r="217" spans="2:14" x14ac:dyDescent="0.3">
      <c r="B217" s="197" t="s">
        <v>459</v>
      </c>
      <c r="C217" s="22"/>
      <c r="D217" s="22"/>
      <c r="E217" s="22"/>
      <c r="F217" s="22"/>
      <c r="G217" s="69"/>
      <c r="H217" s="200" t="s">
        <v>433</v>
      </c>
      <c r="I217" s="10"/>
      <c r="J217" s="72"/>
      <c r="K217" s="72"/>
      <c r="L217" s="76"/>
      <c r="M217" s="76"/>
      <c r="N217" s="77"/>
    </row>
    <row r="218" spans="2:14" ht="17.399999999999999" x14ac:dyDescent="0.3">
      <c r="B218" s="9"/>
      <c r="C218" s="22"/>
      <c r="D218" s="22"/>
      <c r="E218" s="22"/>
      <c r="F218" s="22"/>
      <c r="G218" s="69"/>
      <c r="H218" s="200" t="s">
        <v>434</v>
      </c>
      <c r="I218" s="10"/>
      <c r="J218" s="71"/>
      <c r="K218" s="71"/>
      <c r="L218" s="76"/>
      <c r="M218" s="76"/>
      <c r="N218" s="77"/>
    </row>
    <row r="219" spans="2:14" ht="17.399999999999999" x14ac:dyDescent="0.3">
      <c r="B219" s="78" t="s">
        <v>95</v>
      </c>
      <c r="C219" s="22"/>
      <c r="D219" s="22"/>
      <c r="E219" s="22"/>
      <c r="F219" s="22"/>
      <c r="G219" s="69"/>
      <c r="H219" s="200" t="s">
        <v>435</v>
      </c>
      <c r="I219" s="332"/>
      <c r="J219" s="71"/>
      <c r="K219" s="71"/>
      <c r="L219" s="76"/>
      <c r="M219" s="76"/>
      <c r="N219" s="77"/>
    </row>
    <row r="220" spans="2:14" ht="17.399999999999999" x14ac:dyDescent="0.3">
      <c r="B220" s="197" t="s">
        <v>428</v>
      </c>
      <c r="C220" s="22"/>
      <c r="D220" s="22"/>
      <c r="E220" s="22"/>
      <c r="F220" s="22"/>
      <c r="G220" s="69"/>
      <c r="H220" s="200" t="s">
        <v>436</v>
      </c>
      <c r="I220" s="10"/>
      <c r="J220" s="71"/>
      <c r="K220" s="71"/>
      <c r="L220" s="76"/>
      <c r="M220" s="76"/>
      <c r="N220" s="77"/>
    </row>
    <row r="221" spans="2:14" ht="17.399999999999999" x14ac:dyDescent="0.3">
      <c r="B221" s="81" t="s">
        <v>444</v>
      </c>
      <c r="C221" s="22"/>
      <c r="D221" s="22"/>
      <c r="E221" s="22"/>
      <c r="F221" s="22"/>
      <c r="G221" s="69"/>
      <c r="I221" s="10"/>
      <c r="J221" s="71"/>
      <c r="K221" s="71"/>
      <c r="L221" s="76"/>
      <c r="M221" s="76"/>
      <c r="N221" s="77"/>
    </row>
    <row r="222" spans="2:14" x14ac:dyDescent="0.3">
      <c r="B222" s="81"/>
      <c r="C222" s="22"/>
      <c r="D222" s="22"/>
      <c r="E222" s="22"/>
      <c r="F222" s="22"/>
      <c r="G222" s="69"/>
      <c r="I222" s="10"/>
      <c r="J222" s="10"/>
      <c r="K222" s="10"/>
      <c r="L222" s="10"/>
      <c r="M222" s="10"/>
      <c r="N222" s="30"/>
    </row>
    <row r="223" spans="2:14" x14ac:dyDescent="0.3">
      <c r="B223" s="333"/>
      <c r="C223" s="91"/>
      <c r="D223" s="91"/>
      <c r="E223" s="91"/>
      <c r="F223" s="91"/>
      <c r="G223" s="334"/>
      <c r="H223" s="15"/>
      <c r="I223" s="15"/>
      <c r="J223" s="15"/>
      <c r="K223" s="15"/>
      <c r="L223" s="335"/>
      <c r="M223" s="335"/>
      <c r="N223" s="336"/>
    </row>
    <row r="224" spans="2:14" x14ac:dyDescent="0.3">
      <c r="B224" s="82"/>
      <c r="C224" s="69"/>
      <c r="D224" s="72"/>
      <c r="E224" s="72"/>
      <c r="F224" s="72"/>
      <c r="G224" s="72"/>
      <c r="H224" s="76"/>
      <c r="I224" s="76"/>
      <c r="J224" s="76"/>
      <c r="K224" s="76"/>
      <c r="L224" s="74"/>
      <c r="M224" s="74"/>
      <c r="N224" s="22"/>
    </row>
  </sheetData>
  <mergeCells count="72"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D166:E166"/>
    <mergeCell ref="B161:C161"/>
    <mergeCell ref="D161:E161"/>
    <mergeCell ref="B162:C162"/>
    <mergeCell ref="D162:E162"/>
    <mergeCell ref="B163:C163"/>
    <mergeCell ref="D163:E16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G152:I152"/>
    <mergeCell ref="F178:G178"/>
    <mergeCell ref="C181:D181"/>
    <mergeCell ref="C182:D182"/>
    <mergeCell ref="C183:D183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</mergeCells>
  <pageMargins left="0.7" right="0.7" top="0.75" bottom="0.75" header="0.3" footer="0.3"/>
  <pageSetup scale="70" fitToHeight="0" orientation="portrait" r:id="rId1"/>
  <rowBreaks count="3" manualBreakCount="3">
    <brk id="65" max="16383" man="1"/>
    <brk id="124" max="16383" man="1"/>
    <brk id="176" max="16383" man="1"/>
  </rowBreaks>
  <ignoredErrors>
    <ignoredError sqref="M9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abSelected="1" workbookViewId="0"/>
  </sheetViews>
  <sheetFormatPr defaultRowHeight="14.4" x14ac:dyDescent="0.3"/>
  <cols>
    <col min="3" max="3" width="10.33203125" customWidth="1"/>
    <col min="4" max="4" width="9.5546875" bestFit="1" customWidth="1"/>
    <col min="5" max="5" width="10.6640625" customWidth="1"/>
    <col min="6" max="6" width="9.5546875" bestFit="1" customWidth="1"/>
    <col min="7" max="7" width="10" customWidth="1"/>
    <col min="8" max="8" width="9.5546875" bestFit="1" customWidth="1"/>
    <col min="9" max="10" width="9.33203125" bestFit="1" customWidth="1"/>
    <col min="11" max="12" width="9.5546875" bestFit="1" customWidth="1"/>
    <col min="13" max="13" width="11" customWidth="1"/>
  </cols>
  <sheetData>
    <row r="1" spans="2:15" ht="17.399999999999999" x14ac:dyDescent="0.3">
      <c r="F1" s="1" t="s">
        <v>0</v>
      </c>
      <c r="G1" s="1"/>
      <c r="H1" s="2"/>
      <c r="I1" s="2"/>
      <c r="J1" s="2"/>
      <c r="K1" s="3"/>
    </row>
    <row r="2" spans="2:15" ht="17.399999999999999" x14ac:dyDescent="0.3">
      <c r="G2" s="4"/>
      <c r="H2" s="3" t="s">
        <v>197</v>
      </c>
      <c r="I2" s="2"/>
      <c r="J2" s="2"/>
      <c r="K2" s="5"/>
    </row>
    <row r="4" spans="2:15" x14ac:dyDescent="0.3">
      <c r="B4" s="121" t="s">
        <v>181</v>
      </c>
      <c r="C4" s="148"/>
      <c r="O4" s="22"/>
    </row>
    <row r="5" spans="2:15" x14ac:dyDescent="0.3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3">
      <c r="C6" s="37" t="s">
        <v>17</v>
      </c>
      <c r="D6" s="126">
        <f>'June 2019'!D6</f>
        <v>75</v>
      </c>
      <c r="E6" s="126">
        <f>'June 2019'!E6</f>
        <v>0</v>
      </c>
      <c r="F6" s="126">
        <f>'June 2019'!F6</f>
        <v>162</v>
      </c>
      <c r="G6" s="126">
        <f>'June 2019'!G6</f>
        <v>290</v>
      </c>
      <c r="H6" s="126">
        <f>'June 2019'!H6</f>
        <v>82</v>
      </c>
      <c r="I6" s="126">
        <f>'June 2019'!I6</f>
        <v>1</v>
      </c>
      <c r="J6" s="126">
        <f>'June 2019'!J6</f>
        <v>4</v>
      </c>
      <c r="K6" s="126">
        <f>'June 2019'!K6</f>
        <v>92</v>
      </c>
      <c r="L6" s="126">
        <f>'June 2019'!L6</f>
        <v>58</v>
      </c>
      <c r="M6" s="127">
        <f>SUM(D6:L6)</f>
        <v>764</v>
      </c>
    </row>
    <row r="7" spans="2:15" x14ac:dyDescent="0.3">
      <c r="C7" s="38" t="s">
        <v>18</v>
      </c>
      <c r="D7" s="126">
        <f>'June 2019'!D7</f>
        <v>1</v>
      </c>
      <c r="E7" s="126">
        <f>'June 2019'!E7</f>
        <v>0</v>
      </c>
      <c r="F7" s="126">
        <f>'June 2019'!F7</f>
        <v>1</v>
      </c>
      <c r="G7" s="126">
        <f>'June 2019'!G7</f>
        <v>1</v>
      </c>
      <c r="H7" s="126">
        <f>'June 2019'!H7</f>
        <v>1</v>
      </c>
      <c r="I7" s="126">
        <f>'June 2019'!I7</f>
        <v>0</v>
      </c>
      <c r="J7" s="126">
        <f>'June 2019'!J7</f>
        <v>0</v>
      </c>
      <c r="K7" s="126">
        <f>'June 2019'!K7</f>
        <v>0</v>
      </c>
      <c r="L7" s="126">
        <f>'June 2019'!L7</f>
        <v>2</v>
      </c>
      <c r="M7" s="127">
        <f t="shared" ref="M7:M11" si="0">SUM(D7:L7)</f>
        <v>6</v>
      </c>
    </row>
    <row r="8" spans="2:15" x14ac:dyDescent="0.3">
      <c r="C8" s="38" t="s">
        <v>19</v>
      </c>
      <c r="D8" s="126">
        <f>'June 2019'!D8</f>
        <v>1</v>
      </c>
      <c r="E8" s="126">
        <f>'June 2019'!E8</f>
        <v>2</v>
      </c>
      <c r="F8" s="126">
        <f>'June 2019'!F8</f>
        <v>17</v>
      </c>
      <c r="G8" s="126">
        <f>'June 2019'!G8</f>
        <v>12</v>
      </c>
      <c r="H8" s="126">
        <f>'June 2019'!H8</f>
        <v>19</v>
      </c>
      <c r="I8" s="126">
        <f>'June 2019'!I8</f>
        <v>1</v>
      </c>
      <c r="J8" s="126">
        <f>'June 2019'!J8</f>
        <v>0</v>
      </c>
      <c r="K8" s="126">
        <f>'June 2019'!K8</f>
        <v>26</v>
      </c>
      <c r="L8" s="126">
        <f>'June 2019'!L8</f>
        <v>0</v>
      </c>
      <c r="M8" s="127">
        <f t="shared" si="0"/>
        <v>78</v>
      </c>
    </row>
    <row r="9" spans="2:15" x14ac:dyDescent="0.3">
      <c r="C9" s="38" t="s">
        <v>20</v>
      </c>
      <c r="D9" s="126">
        <f>'June 2019'!D9</f>
        <v>6</v>
      </c>
      <c r="E9" s="126">
        <f>'June 2019'!E9</f>
        <v>5</v>
      </c>
      <c r="F9" s="126">
        <f>'June 2019'!F9</f>
        <v>22</v>
      </c>
      <c r="G9" s="126">
        <f>'June 2019'!G9</f>
        <v>56</v>
      </c>
      <c r="H9" s="126">
        <f>'June 2019'!H9</f>
        <v>22</v>
      </c>
      <c r="I9" s="126">
        <f>'June 2019'!I9</f>
        <v>1</v>
      </c>
      <c r="J9" s="126">
        <f>'June 2019'!J9</f>
        <v>2</v>
      </c>
      <c r="K9" s="126">
        <f>'June 2019'!K9</f>
        <v>24</v>
      </c>
      <c r="L9" s="126">
        <f>'June 2019'!L9</f>
        <v>5</v>
      </c>
      <c r="M9" s="127">
        <f t="shared" si="0"/>
        <v>143</v>
      </c>
    </row>
    <row r="10" spans="2:15" x14ac:dyDescent="0.3">
      <c r="C10" s="38" t="s">
        <v>21</v>
      </c>
      <c r="D10" s="126">
        <f>'June 2019'!D10</f>
        <v>128</v>
      </c>
      <c r="E10" s="126">
        <f>'June 2019'!E10</f>
        <v>65</v>
      </c>
      <c r="F10" s="126">
        <f>'June 2019'!F10</f>
        <v>272</v>
      </c>
      <c r="G10" s="126">
        <f>'June 2019'!G10</f>
        <v>299</v>
      </c>
      <c r="H10" s="126">
        <f>'June 2019'!H10</f>
        <v>162</v>
      </c>
      <c r="I10" s="126">
        <f>'June 2019'!I10</f>
        <v>13</v>
      </c>
      <c r="J10" s="126">
        <f>'June 2019'!J10</f>
        <v>9</v>
      </c>
      <c r="K10" s="126">
        <f>'June 2019'!K10</f>
        <v>527</v>
      </c>
      <c r="L10" s="126">
        <f>'June 2019'!L10</f>
        <v>158</v>
      </c>
      <c r="M10" s="127">
        <f t="shared" si="0"/>
        <v>1633</v>
      </c>
    </row>
    <row r="11" spans="2:15" x14ac:dyDescent="0.3">
      <c r="C11" s="38" t="s">
        <v>12</v>
      </c>
      <c r="D11" s="127">
        <f t="shared" ref="D11:L11" si="1">SUM(D6:D10)</f>
        <v>211</v>
      </c>
      <c r="E11" s="126">
        <f t="shared" si="1"/>
        <v>72</v>
      </c>
      <c r="F11" s="127">
        <f t="shared" si="1"/>
        <v>474</v>
      </c>
      <c r="G11" s="127">
        <f t="shared" si="1"/>
        <v>658</v>
      </c>
      <c r="H11" s="127">
        <f t="shared" si="1"/>
        <v>286</v>
      </c>
      <c r="I11" s="126">
        <f t="shared" si="1"/>
        <v>16</v>
      </c>
      <c r="J11" s="126">
        <f t="shared" si="1"/>
        <v>15</v>
      </c>
      <c r="K11" s="126">
        <f t="shared" si="1"/>
        <v>669</v>
      </c>
      <c r="L11" s="126">
        <f t="shared" si="1"/>
        <v>223</v>
      </c>
      <c r="M11" s="127">
        <f t="shared" si="0"/>
        <v>2624</v>
      </c>
    </row>
    <row r="12" spans="2:15" x14ac:dyDescent="0.3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3">
      <c r="H13" s="17"/>
      <c r="I13" s="17"/>
      <c r="J13" s="17"/>
      <c r="K13" s="25"/>
    </row>
    <row r="14" spans="2:15" x14ac:dyDescent="0.3">
      <c r="B14" s="121" t="s">
        <v>139</v>
      </c>
      <c r="C14" s="148"/>
    </row>
    <row r="15" spans="2:15" x14ac:dyDescent="0.3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3">
      <c r="C16" s="37" t="s">
        <v>24</v>
      </c>
      <c r="D16" s="325">
        <f>SUM('June 2019'!D16+'May 2019'!D16+'April 2019'!D16+'March 2019'!D16+'Feb. 2019'!D16+'Jan. 2019'!D16+'Dec. 2018'!D16+'Nov. 2018'!D16+'Oct. 2018'!D16+'Sept. 2018'!D16+'Aug. 2018'!D16+'July 2018'!D16)</f>
        <v>949</v>
      </c>
      <c r="E16" s="325">
        <f>SUM('June 2019'!E16+'May 2019'!E16+'April 2019'!E16+'March 2019'!E16+'Feb. 2019'!E16+'Jan. 2019'!E16+'Dec. 2018'!E16+'Nov. 2018'!E16+'Oct. 2018'!E16+'Sept. 2018'!E16+'Aug. 2018'!E16+'July 2018'!E16)</f>
        <v>15</v>
      </c>
      <c r="F16" s="325">
        <f>SUM('June 2019'!F16+'May 2019'!F16+'April 2019'!F16+'March 2019'!F16+'Feb. 2019'!F16+'Jan. 2019'!F16+'Dec. 2018'!F16+'Nov. 2018'!F16+'Oct. 2018'!F16+'Sept. 2018'!F16+'Aug. 2018'!F16+'July 2018'!F16)</f>
        <v>613</v>
      </c>
      <c r="G16" s="325">
        <f>SUM('June 2019'!G16+'May 2019'!G16+'April 2019'!G16+'March 2019'!G16+'Feb. 2019'!G16+'Jan. 2019'!G16+'Dec. 2018'!G16+'Nov. 2018'!G16+'Oct. 2018'!G16+'Sept. 2018'!G16+'Aug. 2018'!G16+'July 2018'!G16)</f>
        <v>2318</v>
      </c>
      <c r="H16" s="325">
        <f>SUM('June 2019'!H16+'May 2019'!H16+'April 2019'!H16+'March 2019'!H16+'Feb. 2019'!H16+'Jan. 2019'!H16+'Dec. 2018'!H16+'Nov. 2018'!H16+'Oct. 2018'!H16+'Sept. 2018'!H16+'Aug. 2018'!H16+'July 2018'!H16)</f>
        <v>1904</v>
      </c>
      <c r="I16" s="325">
        <f>SUM('June 2019'!I16+'May 2019'!I16+'April 2019'!I16+'March 2019'!I16+'Feb. 2019'!I16+'Jan. 2019'!I16+'Dec. 2018'!I16+'Nov. 2018'!I16+'Oct. 2018'!I16+'Sept. 2018'!I16+'Aug. 2018'!I16+'July 2018'!I16)</f>
        <v>397</v>
      </c>
      <c r="J16" s="325">
        <f>SUM('June 2019'!J16+'May 2019'!J16+'April 2019'!J16+'March 2019'!J16+'Feb. 2019'!J16+'Jan. 2019'!J16+'Dec. 2018'!J16+'Nov. 2018'!J16+'Oct. 2018'!J16+'Sept. 2018'!J16+'Aug. 2018'!J16+'July 2018'!J16)</f>
        <v>160</v>
      </c>
      <c r="K16" s="325">
        <f>SUM('June 2019'!K16+'May 2019'!K16+'April 2019'!K16+'March 2019'!K16+'Feb. 2019'!K16+'Jan. 2019'!K16+'Dec. 2018'!K16+'Nov. 2018'!K16+'Oct. 2018'!K16+'Sept. 2018'!K16+'Aug. 2018'!K16+'July 2018'!K16)</f>
        <v>1982</v>
      </c>
      <c r="L16" s="325">
        <f>SUM('June 2019'!L16+'May 2019'!L16+'April 2019'!L16+'March 2019'!L16+'Feb. 2019'!L16+'Jan. 2019'!L16+'Dec. 2018'!L16+'Nov. 2018'!L16+'Oct. 2018'!L16+'Sept. 2018'!L16+'Aug. 2018'!L16+'July 2018'!L16)</f>
        <v>300</v>
      </c>
      <c r="M16" s="325">
        <f>SUM(D16:L16)</f>
        <v>8638</v>
      </c>
    </row>
    <row r="17" spans="2:13" x14ac:dyDescent="0.3">
      <c r="C17" s="38" t="s">
        <v>25</v>
      </c>
      <c r="D17" s="325">
        <f>SUM('June 2019'!D17+'May 2019'!D17+'April 2019'!D17+'March 2019'!D17+'Feb. 2019'!D17+'Jan. 2019'!D17+'Dec. 2018'!D17+'Nov. 2018'!D17+'Oct. 2018'!D17+'Sept. 2018'!D17+'Aug. 2018'!D17+'July 2018'!D17)</f>
        <v>158</v>
      </c>
      <c r="E17" s="325">
        <f>SUM('June 2019'!E17+'May 2019'!E17+'April 2019'!E17+'March 2019'!E17+'Feb. 2019'!E17+'Jan. 2019'!E17+'Dec. 2018'!E17+'Nov. 2018'!E17+'Oct. 2018'!E17+'Sept. 2018'!E17+'Aug. 2018'!E17+'July 2018'!E17)</f>
        <v>9</v>
      </c>
      <c r="F17" s="325">
        <f>SUM('June 2019'!F17+'May 2019'!F17+'April 2019'!F17+'March 2019'!F17+'Feb. 2019'!F17+'Jan. 2019'!F17+'Dec. 2018'!F17+'Nov. 2018'!F17+'Oct. 2018'!F17+'Sept. 2018'!F17+'Aug. 2018'!F17+'July 2018'!F17)</f>
        <v>207</v>
      </c>
      <c r="G17" s="325">
        <f>SUM('June 2019'!G17+'May 2019'!G17+'April 2019'!G17+'March 2019'!G17+'Feb. 2019'!G17+'Jan. 2019'!G17+'Dec. 2018'!G17+'Nov. 2018'!G17+'Oct. 2018'!G17+'Sept. 2018'!G17+'Aug. 2018'!G17+'July 2018'!G17)</f>
        <v>739</v>
      </c>
      <c r="H17" s="325">
        <f>SUM('June 2019'!H17+'May 2019'!H17+'April 2019'!H17+'March 2019'!H17+'Feb. 2019'!H17+'Jan. 2019'!H17+'Dec. 2018'!H17+'Nov. 2018'!H17+'Oct. 2018'!H17+'Sept. 2018'!H17+'Aug. 2018'!H17+'July 2018'!H17)</f>
        <v>711</v>
      </c>
      <c r="I17" s="325">
        <f>SUM('June 2019'!I17+'May 2019'!I17+'April 2019'!I17+'March 2019'!I17+'Feb. 2019'!I17+'Jan. 2019'!I17+'Dec. 2018'!I17+'Nov. 2018'!I17+'Oct. 2018'!I17+'Sept. 2018'!I17+'Aug. 2018'!I17+'July 2018'!I17)</f>
        <v>40</v>
      </c>
      <c r="J17" s="325">
        <f>SUM('June 2019'!J17+'May 2019'!J17+'April 2019'!J17+'March 2019'!J17+'Feb. 2019'!J17+'Jan. 2019'!J17+'Dec. 2018'!J17+'Nov. 2018'!J17+'Oct. 2018'!J17+'Sept. 2018'!J17+'Aug. 2018'!J17+'July 2018'!J17)</f>
        <v>77</v>
      </c>
      <c r="K17" s="325">
        <f>SUM('June 2019'!K17+'May 2019'!K17+'April 2019'!K17+'March 2019'!K17+'Feb. 2019'!K17+'Jan. 2019'!K17+'Dec. 2018'!K17+'Nov. 2018'!K17+'Oct. 2018'!K17+'Sept. 2018'!K17+'Aug. 2018'!K17+'July 2018'!K17)</f>
        <v>425</v>
      </c>
      <c r="L17" s="325">
        <f>SUM('June 2019'!L17+'May 2019'!L17+'April 2019'!L17+'March 2019'!L17+'Feb. 2019'!L17+'Jan. 2019'!L17+'Dec. 2018'!L17+'Nov. 2018'!L17+'Oct. 2018'!L17+'Sept. 2018'!L17+'Aug. 2018'!L17+'July 2018'!L17)</f>
        <v>282</v>
      </c>
      <c r="M17" s="325">
        <f t="shared" ref="M17:M21" si="2">SUM(D17:L17)</f>
        <v>2648</v>
      </c>
    </row>
    <row r="18" spans="2:13" x14ac:dyDescent="0.3">
      <c r="C18" s="38" t="s">
        <v>26</v>
      </c>
      <c r="D18" s="325">
        <f>SUM('June 2019'!D18+'May 2019'!D18+'April 2019'!D18+'March 2019'!D18+'Feb. 2019'!D18+'Jan. 2019'!D18+'Dec. 2018'!D18+'Nov. 2018'!D18+'Oct. 2018'!D18+'Sept. 2018'!D18+'Aug. 2018'!D18+'July 2018'!D18)</f>
        <v>1947</v>
      </c>
      <c r="E18" s="325">
        <f>SUM('June 2019'!E18+'May 2019'!E18+'April 2019'!E18+'March 2019'!E18+'Feb. 2019'!E18+'Jan. 2019'!E18+'Dec. 2018'!E18+'Nov. 2018'!E18+'Oct. 2018'!E18+'Sept. 2018'!E18+'Aug. 2018'!E18+'July 2018'!E18)</f>
        <v>2367</v>
      </c>
      <c r="F18" s="325">
        <f>SUM('June 2019'!F18+'May 2019'!F18+'April 2019'!F18+'March 2019'!F18+'Feb. 2019'!F18+'Jan. 2019'!F18+'Dec. 2018'!F18+'Nov. 2018'!F18+'Oct. 2018'!F18+'Sept. 2018'!F18+'Aug. 2018'!F18+'July 2018'!F18)</f>
        <v>4511</v>
      </c>
      <c r="G18" s="325">
        <f>SUM('June 2019'!G18+'May 2019'!G18+'April 2019'!G18+'March 2019'!G18+'Feb. 2019'!G18+'Jan. 2019'!G18+'Dec. 2018'!G18+'Nov. 2018'!G18+'Oct. 2018'!G18+'Sept. 2018'!G18+'Aug. 2018'!G18+'July 2018'!G18)</f>
        <v>2848</v>
      </c>
      <c r="H18" s="325">
        <f>SUM('June 2019'!H18+'May 2019'!H18+'April 2019'!H18+'March 2019'!H18+'Feb. 2019'!H18+'Jan. 2019'!H18+'Dec. 2018'!H18+'Nov. 2018'!H18+'Oct. 2018'!H18+'Sept. 2018'!H18+'Aug. 2018'!H18+'July 2018'!H18)</f>
        <v>2854</v>
      </c>
      <c r="I18" s="325">
        <f>SUM('June 2019'!I18+'May 2019'!I18+'April 2019'!I18+'March 2019'!I18+'Feb. 2019'!I18+'Jan. 2019'!I18+'Dec. 2018'!I18+'Nov. 2018'!I18+'Oct. 2018'!I18+'Sept. 2018'!I18+'Aug. 2018'!I18+'July 2018'!I18)</f>
        <v>39</v>
      </c>
      <c r="J18" s="325">
        <f>SUM('June 2019'!J18+'May 2019'!J18+'April 2019'!J18+'March 2019'!J18+'Feb. 2019'!J18+'Jan. 2019'!J18+'Dec. 2018'!J18+'Nov. 2018'!J18+'Oct. 2018'!J18+'Sept. 2018'!J18+'Aug. 2018'!J18+'July 2018'!J18)</f>
        <v>607</v>
      </c>
      <c r="K18" s="325">
        <f>SUM('June 2019'!K18+'May 2019'!K18+'April 2019'!K18+'March 2019'!K18+'Feb. 2019'!K18+'Jan. 2019'!K18+'Dec. 2018'!K18+'Nov. 2018'!K18+'Oct. 2018'!K18+'Sept. 2018'!K18+'Aug. 2018'!K18+'July 2018'!K18)</f>
        <v>3235</v>
      </c>
      <c r="L18" s="325">
        <f>SUM('June 2019'!L18+'May 2019'!L18+'April 2019'!L18+'March 2019'!L18+'Feb. 2019'!L18+'Jan. 2019'!L18+'Dec. 2018'!L18+'Nov. 2018'!L18+'Oct. 2018'!L18+'Sept. 2018'!L18+'Aug. 2018'!L18+'July 2018'!L18)</f>
        <v>1594</v>
      </c>
      <c r="M18" s="325">
        <f t="shared" si="2"/>
        <v>20002</v>
      </c>
    </row>
    <row r="19" spans="2:13" x14ac:dyDescent="0.3">
      <c r="C19" s="38" t="s">
        <v>27</v>
      </c>
      <c r="D19" s="325">
        <f>SUM('June 2019'!D19+'May 2019'!D19+'April 2019'!D19+'March 2019'!D19+'Feb. 2019'!D19+'Jan. 2019'!D19+'Dec. 2018'!D19+'Nov. 2018'!D19+'Oct. 2018'!D19+'Sept. 2018'!D19+'Aug. 2018'!D19+'July 2018'!D19)</f>
        <v>616</v>
      </c>
      <c r="E19" s="325">
        <f>SUM('June 2019'!E19+'May 2019'!E19+'April 2019'!E19+'March 2019'!E19+'Feb. 2019'!E19+'Jan. 2019'!E19+'Dec. 2018'!E19+'Nov. 2018'!E19+'Oct. 2018'!E19+'Sept. 2018'!E19+'Aug. 2018'!E19+'July 2018'!E19)</f>
        <v>662</v>
      </c>
      <c r="F19" s="325">
        <f>SUM('June 2019'!F19+'May 2019'!F19+'April 2019'!F19+'March 2019'!F19+'Feb. 2019'!F19+'Jan. 2019'!F19+'Dec. 2018'!F19+'Nov. 2018'!F19+'Oct. 2018'!F19+'Sept. 2018'!F19+'Aug. 2018'!F19+'July 2018'!F19)</f>
        <v>438</v>
      </c>
      <c r="G19" s="325">
        <f>SUM('June 2019'!G19+'May 2019'!G19+'April 2019'!G19+'March 2019'!G19+'Feb. 2019'!G19+'Jan. 2019'!G19+'Dec. 2018'!G19+'Nov. 2018'!G19+'Oct. 2018'!G19+'Sept. 2018'!G19+'Aug. 2018'!G19+'July 2018'!G19)</f>
        <v>719</v>
      </c>
      <c r="H19" s="325">
        <f>SUM('June 2019'!H19+'May 2019'!H19+'April 2019'!H19+'March 2019'!H19+'Feb. 2019'!H19+'Jan. 2019'!H19+'Dec. 2018'!H19+'Nov. 2018'!H19+'Oct. 2018'!H19+'Sept. 2018'!H19+'Aug. 2018'!H19+'July 2018'!H19)</f>
        <v>652</v>
      </c>
      <c r="I19" s="325">
        <f>SUM('June 2019'!I19+'May 2019'!I19+'April 2019'!I19+'March 2019'!I19+'Feb. 2019'!I19+'Jan. 2019'!I19+'Dec. 2018'!I19+'Nov. 2018'!I19+'Oct. 2018'!I19+'Sept. 2018'!I19+'Aug. 2018'!I19+'July 2018'!I19)</f>
        <v>457</v>
      </c>
      <c r="J19" s="325">
        <f>SUM('June 2019'!J19+'May 2019'!J19+'April 2019'!J19+'March 2019'!J19+'Feb. 2019'!J19+'Jan. 2019'!J19+'Dec. 2018'!J19+'Nov. 2018'!J19+'Oct. 2018'!J19+'Sept. 2018'!J19+'Aug. 2018'!J19+'July 2018'!J19)</f>
        <v>220</v>
      </c>
      <c r="K19" s="325">
        <f>SUM('June 2019'!K19+'May 2019'!K19+'April 2019'!K19+'March 2019'!K19+'Feb. 2019'!K19+'Jan. 2019'!K19+'Dec. 2018'!K19+'Nov. 2018'!K19+'Oct. 2018'!K19+'Sept. 2018'!K19+'Aug. 2018'!K19+'July 2018'!K19)</f>
        <v>809</v>
      </c>
      <c r="L19" s="325">
        <f>SUM('June 2019'!L19+'May 2019'!L19+'April 2019'!L19+'March 2019'!L19+'Feb. 2019'!L19+'Jan. 2019'!L19+'Dec. 2018'!L19+'Nov. 2018'!L19+'Oct. 2018'!L19+'Sept. 2018'!L19+'Aug. 2018'!L19+'July 2018'!L19)</f>
        <v>532</v>
      </c>
      <c r="M19" s="325">
        <f t="shared" si="2"/>
        <v>5105</v>
      </c>
    </row>
    <row r="20" spans="2:13" x14ac:dyDescent="0.3">
      <c r="C20" s="38" t="s">
        <v>28</v>
      </c>
      <c r="D20" s="325">
        <f>SUM('June 2019'!D20+'May 2019'!D20+'April 2019'!D20+'March 2019'!D20+'Feb. 2019'!D20+'Jan. 2019'!D20+'Dec. 2018'!D20+'Nov. 2018'!D20+'Oct. 2018'!D20+'Sept. 2018'!D20+'Aug. 2018'!D20+'July 2018'!D20)</f>
        <v>228</v>
      </c>
      <c r="E20" s="325">
        <f>SUM('July 2018:June 2019'!E20)</f>
        <v>184</v>
      </c>
      <c r="F20" s="325">
        <f>SUM('June 2019'!F20+'May 2019'!F20+'April 2019'!F20+'March 2019'!F20+'Feb. 2019'!F20+'Jan. 2019'!F20+'Dec. 2018'!F20+'Nov. 2018'!F20+'Oct. 2018'!F20+'Sept. 2018'!F20+'Aug. 2018'!F20+'July 2018'!F20)</f>
        <v>500</v>
      </c>
      <c r="G20" s="325">
        <f>SUM('June 2019'!G20+'May 2019'!G20+'April 2019'!G20+'March 2019'!G20+'Feb. 2019'!G20+'Jan. 2019'!G20+'Dec. 2018'!G20+'Nov. 2018'!G20+'Oct. 2018'!G20+'Sept. 2018'!G20+'Aug. 2018'!G20+'July 2018'!G20)</f>
        <v>620</v>
      </c>
      <c r="H20" s="325">
        <f>SUM('June 2019'!H20+'May 2019'!H20+'April 2019'!H20+'March 2019'!H20+'Feb. 2019'!H20+'Jan. 2019'!H20+'Dec. 2018'!H20+'Nov. 2018'!H20+'Oct. 2018'!H20+'Sept. 2018'!H20+'Aug. 2018'!H20+'July 2018'!H20)</f>
        <v>460</v>
      </c>
      <c r="I20" s="325">
        <f>SUM('June 2019'!I20+'May 2019'!I20+'April 2019'!I20+'March 2019'!I20+'Feb. 2019'!I20+'Jan. 2019'!I20+'Dec. 2018'!I20+'Nov. 2018'!I20+'Oct. 2018'!I20+'Sept. 2018'!I20+'Aug. 2018'!I20+'July 2018'!I20)</f>
        <v>196</v>
      </c>
      <c r="J20" s="325">
        <f>SUM('June 2019'!J20+'May 2019'!J20+'April 2019'!J20+'March 2019'!J20+'Feb. 2019'!J20+'Jan. 2019'!J20+'Dec. 2018'!J20+'Nov. 2018'!J20+'Oct. 2018'!J20+'Sept. 2018'!J20+'Aug. 2018'!J20+'July 2018'!J20)</f>
        <v>116</v>
      </c>
      <c r="K20" s="325">
        <f>SUM('June 2019'!K20+'May 2019'!K20+'April 2019'!K20+'March 2019'!K20+'Feb. 2019'!K20+'Jan. 2019'!K20+'Dec. 2018'!K20+'Nov. 2018'!K20+'Oct. 2018'!K20+'Sept. 2018'!K20+'Aug. 2018'!K20+'July 2018'!K20)</f>
        <v>1267</v>
      </c>
      <c r="L20" s="325">
        <f>SUM('June 2019'!L20+'May 2019'!L20+'April 2019'!L20+'March 2019'!L20+'Feb. 2019'!L20+'Jan. 2019'!L20+'Dec. 2018'!L20+'Nov. 2018'!L20+'Oct. 2018'!L20+'Sept. 2018'!L20+'Aug. 2018'!L20+'July 2018'!L20)</f>
        <v>374</v>
      </c>
      <c r="M20" s="325">
        <f>SUM(D20:L20)</f>
        <v>3945</v>
      </c>
    </row>
    <row r="21" spans="2:13" x14ac:dyDescent="0.3">
      <c r="C21" s="38" t="s">
        <v>12</v>
      </c>
      <c r="D21" s="325">
        <f t="shared" ref="D21:L21" si="3">SUM(D16:D20)</f>
        <v>3898</v>
      </c>
      <c r="E21" s="326">
        <f t="shared" si="3"/>
        <v>3237</v>
      </c>
      <c r="F21" s="325">
        <f t="shared" si="3"/>
        <v>6269</v>
      </c>
      <c r="G21" s="325">
        <f t="shared" si="3"/>
        <v>7244</v>
      </c>
      <c r="H21" s="325">
        <f t="shared" si="3"/>
        <v>6581</v>
      </c>
      <c r="I21" s="326">
        <f t="shared" si="3"/>
        <v>1129</v>
      </c>
      <c r="J21" s="326">
        <f t="shared" si="3"/>
        <v>1180</v>
      </c>
      <c r="K21" s="326">
        <f t="shared" si="3"/>
        <v>7718</v>
      </c>
      <c r="L21" s="326">
        <f t="shared" si="3"/>
        <v>3082</v>
      </c>
      <c r="M21" s="325">
        <f t="shared" si="2"/>
        <v>40338</v>
      </c>
    </row>
    <row r="23" spans="2:13" x14ac:dyDescent="0.3">
      <c r="B23" s="361" t="s">
        <v>31</v>
      </c>
      <c r="C23" s="362"/>
      <c r="D23" s="127">
        <f>SUM('June 2019'!D23+'May 2019'!D23+'April 2019'!D23+'March 2019'!D23+'Feb. 2019'!D23+'Jan. 2019'!D23+'Dec. 2018'!D23+'Nov. 2018'!D23+'Oct. 2018'!D23+'Sept. 2018'!D23+'Aug. 2018'!D23+'July 2018'!D23)</f>
        <v>0</v>
      </c>
      <c r="E23" s="127">
        <f>SUM('June 2019'!E23+'May 2019'!E23+'April 2019'!E23+'March 2019'!E23+'Feb. 2019'!E23+'Jan. 2019'!E23+'Dec. 2018'!E23+'Nov. 2018'!E23+'Oct. 2018'!E23+'Sept. 2018'!E23+'Aug. 2018'!E23+'July 2018'!E23)</f>
        <v>0</v>
      </c>
      <c r="F23" s="127">
        <f>SUM('June 2019'!F23+'May 2019'!F23+'April 2019'!F23+'March 2019'!F23+'Feb. 2019'!F23+'Jan. 2019'!F23+'Dec. 2018'!F23+'Nov. 2018'!F23+'Oct. 2018'!F23+'Sept. 2018'!F23+'Aug. 2018'!F23+'July 2018'!F23)</f>
        <v>8</v>
      </c>
      <c r="G23" s="127">
        <f>SUM('June 2019'!G23+'May 2019'!G23+'April 2019'!G23+'March 2019'!G23+'Feb. 2019'!G23+'Jan. 2019'!G23+'Dec. 2018'!G23+'Nov. 2018'!G23+'Oct. 2018'!G23+'Sept. 2018'!G23+'Aug. 2018'!G23+'July 2018'!G23)</f>
        <v>4</v>
      </c>
      <c r="H23" s="127">
        <f>SUM('June 2019'!H23+'May 2019'!H23+'April 2019'!H23+'March 2019'!H23+'Feb. 2019'!H23+'Jan. 2019'!H23+'Dec. 2018'!H23+'Nov. 2018'!H23+'Oct. 2018'!H23+'Sept. 2018'!H23+'Aug. 2018'!H23+'July 2018'!H23)</f>
        <v>0</v>
      </c>
      <c r="I23" s="127">
        <f>SUM('June 2019'!I23+'May 2019'!I23+'April 2019'!I23+'March 2019'!I23+'Feb. 2019'!I23+'Jan. 2019'!I23+'Dec. 2018'!I23+'Nov. 2018'!I23+'Oct. 2018'!I23+'Sept. 2018'!I23+'Aug. 2018'!I23+'July 2018'!I23)</f>
        <v>0</v>
      </c>
      <c r="J23" s="127">
        <f>SUM('June 2019'!J23+'May 2019'!J23+'April 2019'!J23+'March 2019'!J23+'Feb. 2019'!J23+'Jan. 2019'!J23+'Dec. 2018'!J23+'Nov. 2018'!J23+'Oct. 2018'!J23+'Sept. 2018'!J23+'Aug. 2018'!J23+'July 2018'!J23)</f>
        <v>0</v>
      </c>
      <c r="K23" s="127">
        <f>SUM('June 2019'!K23+'May 2019'!K23+'April 2019'!K23+'March 2019'!K23+'Feb. 2019'!K23+'Jan. 2019'!K23+'Dec. 2018'!K23+'Nov. 2018'!K23+'Oct. 2018'!K23+'Sept. 2018'!K23+'Aug. 2018'!K23+'July 2018'!K23)</f>
        <v>21</v>
      </c>
      <c r="L23" s="127">
        <f>SUM('June 2019'!L23+'May 2019'!L23+'April 2019'!L23+'March 2019'!L23+'Feb. 2019'!L23+'Jan. 2019'!L23+'Dec. 2018'!L23+'Nov. 2018'!L23+'Oct. 2018'!L23+'Sept. 2018'!L23+'Aug. 2018'!L23+'July 2018'!L23)</f>
        <v>1</v>
      </c>
      <c r="M23" s="127">
        <f>SUM(D23:L23)</f>
        <v>34</v>
      </c>
    </row>
    <row r="24" spans="2:13" x14ac:dyDescent="0.3">
      <c r="B24" s="363" t="s">
        <v>32</v>
      </c>
      <c r="C24" s="364"/>
      <c r="D24" s="127">
        <f>SUM('June 2019'!D24+'May 2019'!D24+'April 2019'!D24+'March 2019'!D24+'Feb. 2019'!D24+'Jan. 2019'!D24+'Dec. 2018'!D24+'Nov. 2018'!D24+'Oct. 2018'!D24+'Sept. 2018'!D24+'Aug. 2018'!D24+'July 2018'!D24)</f>
        <v>0</v>
      </c>
      <c r="E24" s="127">
        <f>SUM('June 2019'!E24+'May 2019'!E24+'April 2019'!E24+'March 2019'!E24+'Feb. 2019'!E24+'Jan. 2019'!E24+'Dec. 2018'!E24+'Nov. 2018'!E24+'Oct. 2018'!E24+'Sept. 2018'!E24+'Aug. 2018'!E24+'July 2018'!E24)</f>
        <v>0</v>
      </c>
      <c r="F24" s="127">
        <f>SUM('June 2019'!F24+'May 2019'!F24+'April 2019'!F24+'March 2019'!F24+'Feb. 2019'!F24+'Jan. 2019'!F24+'Dec. 2018'!F24+'Nov. 2018'!F24+'Oct. 2018'!F24+'Sept. 2018'!F24+'Aug. 2018'!F24+'July 2018'!F24)</f>
        <v>125</v>
      </c>
      <c r="G24" s="127">
        <f>SUM('June 2019'!G24+'May 2019'!G24+'April 2019'!G24+'March 2019'!G24+'Feb. 2019'!G24+'Jan. 2019'!G24+'Dec. 2018'!G24+'Nov. 2018'!G24+'Oct. 2018'!G24+'Sept. 2018'!G24+'Aug. 2018'!G24+'July 2018'!G24)</f>
        <v>69</v>
      </c>
      <c r="H24" s="127">
        <f>SUM('June 2019'!H24+'May 2019'!H24+'April 2019'!H24+'March 2019'!H24+'Feb. 2019'!H24+'Jan. 2019'!H24+'Dec. 2018'!H24+'Nov. 2018'!H24+'Oct. 2018'!H24+'Sept. 2018'!H24+'Aug. 2018'!H24+'July 2018'!H24)</f>
        <v>0</v>
      </c>
      <c r="I24" s="127">
        <f>SUM('June 2019'!I24+'May 2019'!I24+'April 2019'!I24+'March 2019'!I24+'Feb. 2019'!I24+'Jan. 2019'!I24+'Dec. 2018'!I24+'Nov. 2018'!I24+'Oct. 2018'!I24+'Sept. 2018'!I24+'Aug. 2018'!I24+'July 2018'!I24)</f>
        <v>0</v>
      </c>
      <c r="J24" s="127">
        <f>SUM('June 2019'!J24+'May 2019'!J24+'April 2019'!J24+'March 2019'!J24+'Feb. 2019'!J24+'Jan. 2019'!J24+'Dec. 2018'!J24+'Nov. 2018'!J24+'Oct. 2018'!J24+'Sept. 2018'!J24+'Aug. 2018'!J24+'July 2018'!J24)</f>
        <v>0</v>
      </c>
      <c r="K24" s="127">
        <f>SUM('June 2019'!K24+'May 2019'!K24+'April 2019'!K24+'March 2019'!K24+'Feb. 2019'!K24+'Jan. 2019'!K24+'Dec. 2018'!K24+'Nov. 2018'!K24+'Oct. 2018'!K24+'Sept. 2018'!K24+'Aug. 2018'!K24+'July 2018'!K24)</f>
        <v>367</v>
      </c>
      <c r="L24" s="127">
        <f>SUM('June 2019'!L24+'May 2019'!L24+'April 2019'!L24+'March 2019'!L24+'Feb. 2019'!L24+'Jan. 2019'!L24+'Dec. 2018'!L24+'Nov. 2018'!L24+'Oct. 2018'!L24+'Sept. 2018'!L24+'Aug. 2018'!L24+'July 2018'!L24)</f>
        <v>18</v>
      </c>
      <c r="M24" s="127">
        <f>SUM(D24:L24)</f>
        <v>579</v>
      </c>
    </row>
    <row r="25" spans="2:13" x14ac:dyDescent="0.3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3">
      <c r="C26" s="19" t="s">
        <v>129</v>
      </c>
      <c r="D26" s="20"/>
      <c r="E26" s="127">
        <f>SUM('June 2019'!E26+'May 2019'!E26+'April 2019'!E26+'March 2019'!E26+'Feb. 2019'!E26+'Jan. 2019'!E26+'Dec. 2018'!E26+'Nov. 2018'!E26+'Oct. 2018'!E26+'Sept. 2018'!E26+'Aug. 2018'!E26+'July 2018'!E26)</f>
        <v>17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3">
      <c r="C27" s="19" t="s">
        <v>130</v>
      </c>
      <c r="D27" s="20"/>
      <c r="E27" s="127">
        <f>SUM('June 2019'!E27+'May 2019'!E27+'April 2019'!E27+'March 2019'!E27+'Feb. 2019'!E27+'Jan. 2019'!E27+'Dec. 2018'!E27+'Nov. 2018'!E27+'Oct. 2018'!E27+'Sept. 2018'!E27+'Aug. 2018'!E27+'July 2018'!E27)</f>
        <v>37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3">
      <c r="B29" s="121" t="s">
        <v>28</v>
      </c>
      <c r="C29" s="148"/>
    </row>
    <row r="30" spans="2:13" x14ac:dyDescent="0.3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3">
      <c r="C31" s="37" t="s">
        <v>33</v>
      </c>
      <c r="D31" s="127">
        <f>SUM('June 2019'!D31+'May 2019'!D31+'April 2019'!D31+'March 2019'!D31+'Feb. 2019'!D31+'Jan. 2019'!D31+'Dec. 2018'!D31+'Nov. 2018'!D31+'Oct. 2018'!D31+'Sept. 2018'!D31+'Aug. 2018'!D31+'July 2018'!D31)</f>
        <v>18</v>
      </c>
      <c r="E31" s="127">
        <f>SUM('July 2018:June 2019'!E31)</f>
        <v>10</v>
      </c>
      <c r="F31" s="127">
        <f>SUM('June 2019'!F31+'May 2019'!F31+'April 2019'!F31+'March 2019'!F31+'Feb. 2019'!F31+'Jan. 2019'!F31+'Dec. 2018'!F31+'Nov. 2018'!F31+'Oct. 2018'!F31+'Sept. 2018'!F31+'Aug. 2018'!F31+'July 2018'!F31)</f>
        <v>61</v>
      </c>
      <c r="G31" s="127">
        <f>SUM('June 2019'!G31+'May 2019'!G31+'April 2019'!G31+'March 2019'!G31+'Feb. 2019'!G31+'Jan. 2019'!G31+'Dec. 2018'!G31+'Nov. 2018'!G31+'Oct. 2018'!G31+'Sept. 2018'!G31+'Aug. 2018'!G31+'July 2018'!G31)</f>
        <v>99</v>
      </c>
      <c r="H31" s="127">
        <f>SUM('June 2019'!H31+'May 2019'!H31+'April 2019'!H31+'March 2019'!H31+'Feb. 2019'!H31+'Jan. 2019'!H31+'Dec. 2018'!H31+'Nov. 2018'!H31+'Oct. 2018'!H31+'Sept. 2018'!H31+'Aug. 2018'!H31+'July 2018'!H31)</f>
        <v>40</v>
      </c>
      <c r="I31" s="127">
        <f>SUM('June 2019'!I31+'May 2019'!I31+'April 2019'!I31+'March 2019'!I31+'Feb. 2019'!I31+'Jan. 2019'!I31+'Dec. 2018'!I31+'Nov. 2018'!I31+'Oct. 2018'!I31+'Sept. 2018'!I31+'Aug. 2018'!I31+'July 2018'!I31)</f>
        <v>33</v>
      </c>
      <c r="J31" s="127">
        <f>SUM('June 2019'!J31+'May 2019'!J31+'April 2019'!J31+'March 2019'!J31+'Feb. 2019'!J31+'Jan. 2019'!J31+'Dec. 2018'!J31+'Nov. 2018'!J31+'Oct. 2018'!J31+'Sept. 2018'!J31+'Aug. 2018'!J31+'July 2018'!J31)</f>
        <v>5</v>
      </c>
      <c r="K31" s="127">
        <f>SUM('June 2019'!K31+'May 2019'!K31+'April 2019'!K31+'March 2019'!K31+'Feb. 2019'!K31+'Jan. 2019'!K31+'Dec. 2018'!K31+'Nov. 2018'!K31+'Oct. 2018'!K31+'Sept. 2018'!K31+'Aug. 2018'!K31+'July 2018'!K31)</f>
        <v>113</v>
      </c>
      <c r="L31" s="127">
        <f>SUM('June 2019'!L31+'May 2019'!L31+'April 2019'!L31+'March 2019'!L31+'Feb. 2019'!L31+'Jan. 2019'!L31+'Dec. 2018'!L31+'Nov. 2018'!L31+'Oct. 2018'!L31+'Sept. 2018'!L31+'Aug. 2018'!L31+'July 2018'!L31)</f>
        <v>52</v>
      </c>
      <c r="M31" s="127">
        <f>SUM(D31:L31)</f>
        <v>431</v>
      </c>
    </row>
    <row r="32" spans="2:13" x14ac:dyDescent="0.3">
      <c r="C32" s="38" t="s">
        <v>34</v>
      </c>
      <c r="D32" s="127">
        <f>SUM('June 2019'!D32+'May 2019'!D32+'April 2019'!D32+'March 2019'!D32+'Feb. 2019'!D32+'Jan. 2019'!D32+'Dec. 2018'!D32+'Nov. 2018'!D32+'Oct. 2018'!D32+'Sept. 2018'!D32+'Aug. 2018'!D32+'July 2018'!D32)</f>
        <v>0</v>
      </c>
      <c r="E32" s="127">
        <f>SUM('July 2018:June 2019'!E32)</f>
        <v>0</v>
      </c>
      <c r="F32" s="127">
        <f>SUM('June 2019'!F32+'May 2019'!F32+'April 2019'!F32+'March 2019'!F32+'Feb. 2019'!F32+'Jan. 2019'!F32+'Dec. 2018'!F32+'Nov. 2018'!F32+'Oct. 2018'!F32+'Sept. 2018'!F32+'Aug. 2018'!F32+'July 2018'!F32)</f>
        <v>6</v>
      </c>
      <c r="G32" s="127">
        <f>SUM('June 2019'!G32+'May 2019'!G32+'April 2019'!G32+'March 2019'!G32+'Feb. 2019'!G32+'Jan. 2019'!G32+'Dec. 2018'!G32+'Nov. 2018'!G32+'Oct. 2018'!G32+'Sept. 2018'!G32+'Aug. 2018'!G32+'July 2018'!G32)</f>
        <v>4</v>
      </c>
      <c r="H32" s="127">
        <f>SUM('June 2019'!H32+'May 2019'!H32+'April 2019'!H32+'March 2019'!H32+'Feb. 2019'!H32+'Jan. 2019'!H32+'Dec. 2018'!H32+'Nov. 2018'!H32+'Oct. 2018'!H32+'Sept. 2018'!H32+'Aug. 2018'!H32+'July 2018'!H32)</f>
        <v>13</v>
      </c>
      <c r="I32" s="127">
        <f>SUM('June 2019'!I32+'May 2019'!I32+'April 2019'!I32+'March 2019'!I32+'Feb. 2019'!I32+'Jan. 2019'!I32+'Dec. 2018'!I32+'Nov. 2018'!I32+'Oct. 2018'!I32+'Sept. 2018'!I32+'Aug. 2018'!I32+'July 2018'!I32)</f>
        <v>0</v>
      </c>
      <c r="J32" s="127">
        <f>SUM('June 2019'!J32+'May 2019'!J32+'April 2019'!J32+'March 2019'!J32+'Feb. 2019'!J32+'Jan. 2019'!J32+'Dec. 2018'!J32+'Nov. 2018'!J32+'Oct. 2018'!J32+'Sept. 2018'!J32+'Aug. 2018'!J32+'July 2018'!J32)</f>
        <v>0</v>
      </c>
      <c r="K32" s="127">
        <f>SUM('June 2019'!K32+'May 2019'!K32+'April 2019'!K32+'March 2019'!K32+'Feb. 2019'!K32+'Jan. 2019'!K32+'Dec. 2018'!K32+'Nov. 2018'!K32+'Oct. 2018'!K32+'Sept. 2018'!K32+'Aug. 2018'!K32+'July 2018'!K32)</f>
        <v>18</v>
      </c>
      <c r="L32" s="127">
        <f>SUM('June 2019'!L32+'May 2019'!L32+'April 2019'!L32+'March 2019'!L32+'Feb. 2019'!L32+'Jan. 2019'!L32+'Dec. 2018'!L32+'Nov. 2018'!L32+'Oct. 2018'!L32+'Sept. 2018'!L32+'Aug. 2018'!L32+'July 2018'!L32)</f>
        <v>6</v>
      </c>
      <c r="M32" s="127">
        <f t="shared" ref="M32:M59" si="4">SUM(D32:L32)</f>
        <v>47</v>
      </c>
    </row>
    <row r="33" spans="3:13" x14ac:dyDescent="0.3">
      <c r="C33" s="38" t="s">
        <v>35</v>
      </c>
      <c r="D33" s="127">
        <f>SUM('June 2019'!D33+'May 2019'!D33+'April 2019'!D33+'March 2019'!D33+'Feb. 2019'!D33+'Jan. 2019'!D33+'Dec. 2018'!D33+'Nov. 2018'!D33+'Oct. 2018'!D33+'Sept. 2018'!D33+'Aug. 2018'!D33+'July 2018'!D33)</f>
        <v>14</v>
      </c>
      <c r="E33" s="127">
        <f>SUM('July 2018:June 2019'!E33)</f>
        <v>22</v>
      </c>
      <c r="F33" s="127">
        <f>SUM('June 2019'!F33+'May 2019'!F33+'April 2019'!F33+'March 2019'!F33+'Feb. 2019'!F33+'Jan. 2019'!F33+'Dec. 2018'!F33+'Nov. 2018'!F33+'Oct. 2018'!F33+'Sept. 2018'!F33+'Aug. 2018'!F33+'July 2018'!F33)</f>
        <v>36</v>
      </c>
      <c r="G33" s="127">
        <f>SUM('June 2019'!G33+'May 2019'!G33+'April 2019'!G33+'March 2019'!G33+'Feb. 2019'!G33+'Jan. 2019'!G33+'Dec. 2018'!G33+'Nov. 2018'!G33+'Oct. 2018'!G33+'Sept. 2018'!G33+'Aug. 2018'!G33+'July 2018'!G33)</f>
        <v>89</v>
      </c>
      <c r="H33" s="127">
        <f>SUM('June 2019'!H33+'May 2019'!H33+'April 2019'!H33+'March 2019'!H33+'Feb. 2019'!H33+'Jan. 2019'!H33+'Dec. 2018'!H33+'Nov. 2018'!H33+'Oct. 2018'!H33+'Sept. 2018'!H33+'Aug. 2018'!H33+'July 2018'!H33)</f>
        <v>46</v>
      </c>
      <c r="I33" s="127">
        <f>SUM('June 2019'!I33+'May 2019'!I33+'April 2019'!I33+'March 2019'!I33+'Feb. 2019'!I33+'Jan. 2019'!I33+'Dec. 2018'!I33+'Nov. 2018'!I33+'Oct. 2018'!I33+'Sept. 2018'!I33+'Aug. 2018'!I33+'July 2018'!I33)</f>
        <v>46</v>
      </c>
      <c r="J33" s="127">
        <f>SUM('June 2019'!J33+'May 2019'!J33+'April 2019'!J33+'March 2019'!J33+'Feb. 2019'!J33+'Jan. 2019'!J33+'Dec. 2018'!J33+'Nov. 2018'!J33+'Oct. 2018'!J33+'Sept. 2018'!J33+'Aug. 2018'!J33+'July 2018'!J33)</f>
        <v>10</v>
      </c>
      <c r="K33" s="127">
        <f>SUM('June 2019'!K33+'May 2019'!K33+'April 2019'!K33+'March 2019'!K33+'Feb. 2019'!K33+'Jan. 2019'!K33+'Dec. 2018'!K33+'Nov. 2018'!K33+'Oct. 2018'!K33+'Sept. 2018'!K33+'Aug. 2018'!K33+'July 2018'!K33)</f>
        <v>134</v>
      </c>
      <c r="L33" s="127">
        <f>SUM('June 2019'!L33+'May 2019'!L33+'April 2019'!L33+'March 2019'!L33+'Feb. 2019'!L33+'Jan. 2019'!L33+'Dec. 2018'!L33+'Nov. 2018'!L33+'Oct. 2018'!L33+'Sept. 2018'!L33+'Aug. 2018'!L33+'July 2018'!L33)</f>
        <v>20</v>
      </c>
      <c r="M33" s="127">
        <f t="shared" si="4"/>
        <v>417</v>
      </c>
    </row>
    <row r="34" spans="3:13" x14ac:dyDescent="0.3">
      <c r="C34" s="38" t="s">
        <v>36</v>
      </c>
      <c r="D34" s="127">
        <f>SUM('June 2019'!D34+'May 2019'!D34+'April 2019'!D34+'March 2019'!D34+'Feb. 2019'!D34+'Jan. 2019'!D34+'Dec. 2018'!D34+'Nov. 2018'!D34+'Oct. 2018'!D34+'Sept. 2018'!D34+'Aug. 2018'!D34+'July 2018'!D34)</f>
        <v>0</v>
      </c>
      <c r="E34" s="127">
        <f>SUM('July 2018:June 2019'!E34)</f>
        <v>0</v>
      </c>
      <c r="F34" s="127">
        <f>SUM('June 2019'!F34+'May 2019'!F34+'April 2019'!F34+'March 2019'!F34+'Feb. 2019'!F34+'Jan. 2019'!F34+'Dec. 2018'!F34+'Nov. 2018'!F34+'Oct. 2018'!F34+'Sept. 2018'!F34+'Aug. 2018'!F34+'July 2018'!F34)</f>
        <v>0</v>
      </c>
      <c r="G34" s="127">
        <f>SUM('June 2019'!G34+'May 2019'!G34+'April 2019'!G34+'March 2019'!G34+'Feb. 2019'!G34+'Jan. 2019'!G34+'Dec. 2018'!G34+'Nov. 2018'!G34+'Oct. 2018'!G34+'Sept. 2018'!G34+'Aug. 2018'!G34+'July 2018'!G34)</f>
        <v>2</v>
      </c>
      <c r="H34" s="127">
        <f>SUM('June 2019'!H34+'May 2019'!H34+'April 2019'!H34+'March 2019'!H34+'Feb. 2019'!H34+'Jan. 2019'!H34+'Dec. 2018'!H34+'Nov. 2018'!H34+'Oct. 2018'!H34+'Sept. 2018'!H34+'Aug. 2018'!H34+'July 2018'!H34)</f>
        <v>0</v>
      </c>
      <c r="I34" s="127">
        <f>SUM('June 2019'!I34+'May 2019'!I34+'April 2019'!I34+'March 2019'!I34+'Feb. 2019'!I34+'Jan. 2019'!I34+'Dec. 2018'!I34+'Nov. 2018'!I34+'Oct. 2018'!I34+'Sept. 2018'!I34+'Aug. 2018'!I34+'July 2018'!I34)</f>
        <v>0</v>
      </c>
      <c r="J34" s="127">
        <f>SUM('June 2019'!J34+'May 2019'!J34+'April 2019'!J34+'March 2019'!J34+'Feb. 2019'!J34+'Jan. 2019'!J34+'Dec. 2018'!J34+'Nov. 2018'!J34+'Oct. 2018'!J34+'Sept. 2018'!J34+'Aug. 2018'!J34+'July 2018'!J34)</f>
        <v>0</v>
      </c>
      <c r="K34" s="127">
        <f>SUM('June 2019'!K34+'May 2019'!K34+'April 2019'!K34+'March 2019'!K34+'Feb. 2019'!K34+'Jan. 2019'!K34+'Dec. 2018'!K34+'Nov. 2018'!K34+'Oct. 2018'!K34+'Sept. 2018'!K34+'Aug. 2018'!K34+'July 2018'!K34)</f>
        <v>0</v>
      </c>
      <c r="L34" s="127">
        <f>SUM('June 2019'!L34+'May 2019'!L34+'April 2019'!L34+'March 2019'!L34+'Feb. 2019'!L34+'Jan. 2019'!L34+'Dec. 2018'!L34+'Nov. 2018'!L34+'Oct. 2018'!L34+'Sept. 2018'!L34+'Aug. 2018'!L34+'July 2018'!L34)</f>
        <v>0</v>
      </c>
      <c r="M34" s="127">
        <f t="shared" si="4"/>
        <v>2</v>
      </c>
    </row>
    <row r="35" spans="3:13" x14ac:dyDescent="0.3">
      <c r="C35" s="38" t="s">
        <v>37</v>
      </c>
      <c r="D35" s="127">
        <f>SUM('June 2019'!D35+'May 2019'!D35+'April 2019'!D35+'March 2019'!D35+'Feb. 2019'!D35+'Jan. 2019'!D35+'Dec. 2018'!D35+'Nov. 2018'!D35+'Oct. 2018'!D35+'Sept. 2018'!D35+'Aug. 2018'!D35+'July 2018'!D35)</f>
        <v>26</v>
      </c>
      <c r="E35" s="127">
        <f>SUM('July 2018:June 2019'!E35)</f>
        <v>24</v>
      </c>
      <c r="F35" s="127">
        <f>SUM('June 2019'!F35+'May 2019'!F35+'April 2019'!F35+'March 2019'!F35+'Feb. 2019'!F35+'Jan. 2019'!F35+'Dec. 2018'!F35+'Nov. 2018'!F35+'Oct. 2018'!F35+'Sept. 2018'!F35+'Aug. 2018'!F35+'July 2018'!F35)</f>
        <v>32</v>
      </c>
      <c r="G35" s="127">
        <f>SUM('June 2019'!G35+'May 2019'!G35+'April 2019'!G35+'March 2019'!G35+'Feb. 2019'!G35+'Jan. 2019'!G35+'Dec. 2018'!G35+'Nov. 2018'!G35+'Oct. 2018'!G35+'Sept. 2018'!G35+'Aug. 2018'!G35+'July 2018'!G35)</f>
        <v>40</v>
      </c>
      <c r="H35" s="127">
        <f>SUM('June 2019'!H35+'May 2019'!H35+'April 2019'!H35+'March 2019'!H35+'Feb. 2019'!H35+'Jan. 2019'!H35+'Dec. 2018'!H35+'Nov. 2018'!H35+'Oct. 2018'!H35+'Sept. 2018'!H35+'Aug. 2018'!H35+'July 2018'!H35)</f>
        <v>6</v>
      </c>
      <c r="I35" s="127">
        <f>SUM('June 2019'!I35+'May 2019'!I35+'April 2019'!I35+'March 2019'!I35+'Feb. 2019'!I35+'Jan. 2019'!I35+'Dec. 2018'!I35+'Nov. 2018'!I35+'Oct. 2018'!I35+'Sept. 2018'!I35+'Aug. 2018'!I35+'July 2018'!I35)</f>
        <v>5</v>
      </c>
      <c r="J35" s="127">
        <f>SUM('June 2019'!J35+'May 2019'!J35+'April 2019'!J35+'March 2019'!J35+'Feb. 2019'!J35+'Jan. 2019'!J35+'Dec. 2018'!J35+'Nov. 2018'!J35+'Oct. 2018'!J35+'Sept. 2018'!J35+'Aug. 2018'!J35+'July 2018'!J35)</f>
        <v>2</v>
      </c>
      <c r="K35" s="127">
        <f>SUM('June 2019'!K35+'May 2019'!K35+'April 2019'!K35+'March 2019'!K35+'Feb. 2019'!K35+'Jan. 2019'!K35+'Dec. 2018'!K35+'Nov. 2018'!K35+'Oct. 2018'!K35+'Sept. 2018'!K35+'Aug. 2018'!K35+'July 2018'!K35)</f>
        <v>27</v>
      </c>
      <c r="L35" s="127">
        <f>SUM('June 2019'!L35+'May 2019'!L35+'April 2019'!L35+'March 2019'!L35+'Feb. 2019'!L35+'Jan. 2019'!L35+'Dec. 2018'!L35+'Nov. 2018'!L35+'Oct. 2018'!L35+'Sept. 2018'!L35+'Aug. 2018'!L35+'July 2018'!L35)</f>
        <v>30</v>
      </c>
      <c r="M35" s="127">
        <f t="shared" si="4"/>
        <v>192</v>
      </c>
    </row>
    <row r="36" spans="3:13" x14ac:dyDescent="0.3">
      <c r="C36" s="38" t="s">
        <v>38</v>
      </c>
      <c r="D36" s="127">
        <f>SUM('June 2019'!D36+'May 2019'!D36+'April 2019'!D36+'March 2019'!D36+'Feb. 2019'!D36+'Jan. 2019'!D36+'Dec. 2018'!D36+'Nov. 2018'!D36+'Oct. 2018'!D36+'Sept. 2018'!D36+'Aug. 2018'!D36+'July 2018'!D36)</f>
        <v>2</v>
      </c>
      <c r="E36" s="127">
        <f>SUM('July 2018:June 2019'!E36)</f>
        <v>0</v>
      </c>
      <c r="F36" s="127">
        <f>SUM('June 2019'!F36+'May 2019'!F36+'April 2019'!F36+'March 2019'!F36+'Feb. 2019'!F36+'Jan. 2019'!F36+'Dec. 2018'!F36+'Nov. 2018'!F36+'Oct. 2018'!F36+'Sept. 2018'!F36+'Aug. 2018'!F36+'July 2018'!F36)</f>
        <v>0</v>
      </c>
      <c r="G36" s="127">
        <f>SUM('June 2019'!G36+'May 2019'!G36+'April 2019'!G36+'March 2019'!G36+'Feb. 2019'!G36+'Jan. 2019'!G36+'Dec. 2018'!G36+'Nov. 2018'!G36+'Oct. 2018'!G36+'Sept. 2018'!G36+'Aug. 2018'!G36+'July 2018'!G36)</f>
        <v>5</v>
      </c>
      <c r="H36" s="127">
        <f>SUM('June 2019'!H36+'May 2019'!H36+'April 2019'!H36+'March 2019'!H36+'Feb. 2019'!H36+'Jan. 2019'!H36+'Dec. 2018'!H36+'Nov. 2018'!H36+'Oct. 2018'!H36+'Sept. 2018'!H36+'Aug. 2018'!H36+'July 2018'!H36)</f>
        <v>0</v>
      </c>
      <c r="I36" s="127">
        <f>SUM('June 2019'!I36+'May 2019'!I36+'April 2019'!I36+'March 2019'!I36+'Feb. 2019'!I36+'Jan. 2019'!I36+'Dec. 2018'!I36+'Nov. 2018'!I36+'Oct. 2018'!I36+'Sept. 2018'!I36+'Aug. 2018'!I36+'July 2018'!I36)</f>
        <v>2</v>
      </c>
      <c r="J36" s="127">
        <f>SUM('June 2019'!J36+'May 2019'!J36+'April 2019'!J36+'March 2019'!J36+'Feb. 2019'!J36+'Jan. 2019'!J36+'Dec. 2018'!J36+'Nov. 2018'!J36+'Oct. 2018'!J36+'Sept. 2018'!J36+'Aug. 2018'!J36+'July 2018'!J36)</f>
        <v>0</v>
      </c>
      <c r="K36" s="127">
        <f>SUM('June 2019'!K36+'May 2019'!K36+'April 2019'!K36+'March 2019'!K36+'Feb. 2019'!K36+'Jan. 2019'!K36+'Dec. 2018'!K36+'Nov. 2018'!K36+'Oct. 2018'!K36+'Sept. 2018'!K36+'Aug. 2018'!K36+'July 2018'!K36)</f>
        <v>15</v>
      </c>
      <c r="L36" s="127">
        <f>SUM('June 2019'!L36+'May 2019'!L36+'April 2019'!L36+'March 2019'!L36+'Feb. 2019'!L36+'Jan. 2019'!L36+'Dec. 2018'!L36+'Nov. 2018'!L36+'Oct. 2018'!L36+'Sept. 2018'!L36+'Aug. 2018'!L36+'July 2018'!L36)</f>
        <v>0</v>
      </c>
      <c r="M36" s="127">
        <f t="shared" si="4"/>
        <v>24</v>
      </c>
    </row>
    <row r="37" spans="3:13" x14ac:dyDescent="0.3">
      <c r="C37" s="38" t="s">
        <v>39</v>
      </c>
      <c r="D37" s="127">
        <f>SUM('June 2019'!D37+'May 2019'!D37+'April 2019'!D37+'March 2019'!D37+'Feb. 2019'!D37+'Jan. 2019'!D37+'Dec. 2018'!D37+'Nov. 2018'!D37+'Oct. 2018'!D37+'Sept. 2018'!D37+'Aug. 2018'!D37+'July 2018'!D37)</f>
        <v>0</v>
      </c>
      <c r="E37" s="127">
        <f>SUM('July 2018:June 2019'!E37)</f>
        <v>0</v>
      </c>
      <c r="F37" s="127">
        <f>SUM('June 2019'!F37+'May 2019'!F37+'April 2019'!F37+'March 2019'!F37+'Feb. 2019'!F37+'Jan. 2019'!F37+'Dec. 2018'!F37+'Nov. 2018'!F37+'Oct. 2018'!F37+'Sept. 2018'!F37+'Aug. 2018'!F37+'July 2018'!F37)</f>
        <v>0</v>
      </c>
      <c r="G37" s="127">
        <f>SUM('June 2019'!G37+'May 2019'!G37+'April 2019'!G37+'March 2019'!G37+'Feb. 2019'!G37+'Jan. 2019'!G37+'Dec. 2018'!G37+'Nov. 2018'!G37+'Oct. 2018'!G37+'Sept. 2018'!G37+'Aug. 2018'!G37+'July 2018'!G37)</f>
        <v>0</v>
      </c>
      <c r="H37" s="127">
        <f>SUM('June 2019'!H37+'May 2019'!H37+'April 2019'!H37+'March 2019'!H37+'Feb. 2019'!H37+'Jan. 2019'!H37+'Dec. 2018'!H37+'Nov. 2018'!H37+'Oct. 2018'!H37+'Sept. 2018'!H37+'Aug. 2018'!H37+'July 2018'!H37)</f>
        <v>0</v>
      </c>
      <c r="I37" s="127">
        <f>SUM('June 2019'!I37+'May 2019'!I37+'April 2019'!I37+'March 2019'!I37+'Feb. 2019'!I37+'Jan. 2019'!I37+'Dec. 2018'!I37+'Nov. 2018'!I37+'Oct. 2018'!I37+'Sept. 2018'!I37+'Aug. 2018'!I37+'July 2018'!I37)</f>
        <v>0</v>
      </c>
      <c r="J37" s="127">
        <f>SUM('June 2019'!J37+'May 2019'!J37+'April 2019'!J37+'March 2019'!J37+'Feb. 2019'!J37+'Jan. 2019'!J37+'Dec. 2018'!J37+'Nov. 2018'!J37+'Oct. 2018'!J37+'Sept. 2018'!J37+'Aug. 2018'!J37+'July 2018'!J37)</f>
        <v>0</v>
      </c>
      <c r="K37" s="127">
        <f>SUM('June 2019'!K37+'May 2019'!K37+'April 2019'!K37+'March 2019'!K37+'Feb. 2019'!K37+'Jan. 2019'!K37+'Dec. 2018'!K37+'Nov. 2018'!K37+'Oct. 2018'!K37+'Sept. 2018'!K37+'Aug. 2018'!K37+'July 2018'!K37)</f>
        <v>0</v>
      </c>
      <c r="L37" s="127">
        <f>SUM('June 2019'!L37+'May 2019'!L37+'April 2019'!L37+'March 2019'!L37+'Feb. 2019'!L37+'Jan. 2019'!L37+'Dec. 2018'!L37+'Nov. 2018'!L37+'Oct. 2018'!L37+'Sept. 2018'!L37+'Aug. 2018'!L37+'July 2018'!L37)</f>
        <v>0</v>
      </c>
      <c r="M37" s="127">
        <f t="shared" si="4"/>
        <v>0</v>
      </c>
    </row>
    <row r="38" spans="3:13" x14ac:dyDescent="0.3">
      <c r="C38" s="38" t="s">
        <v>40</v>
      </c>
      <c r="D38" s="127">
        <f>SUM('June 2019'!D38+'May 2019'!D38+'April 2019'!D38+'March 2019'!D38+'Feb. 2019'!D38+'Jan. 2019'!D38+'Dec. 2018'!D38+'Nov. 2018'!D38+'Oct. 2018'!D38+'Sept. 2018'!D38+'Aug. 2018'!D38+'July 2018'!D38)</f>
        <v>0</v>
      </c>
      <c r="E38" s="127">
        <f>SUM('July 2018:June 2019'!E38)</f>
        <v>0</v>
      </c>
      <c r="F38" s="127">
        <f>SUM('June 2019'!F38+'May 2019'!F38+'April 2019'!F38+'March 2019'!F38+'Feb. 2019'!F38+'Jan. 2019'!F38+'Dec. 2018'!F38+'Nov. 2018'!F38+'Oct. 2018'!F38+'Sept. 2018'!F38+'Aug. 2018'!F38+'July 2018'!F38)</f>
        <v>0</v>
      </c>
      <c r="G38" s="127">
        <f>SUM('June 2019'!G38+'May 2019'!G38+'April 2019'!G38+'March 2019'!G38+'Feb. 2019'!G38+'Jan. 2019'!G38+'Dec. 2018'!G38+'Nov. 2018'!G38+'Oct. 2018'!G38+'Sept. 2018'!G38+'Aug. 2018'!G38+'July 2018'!G38)</f>
        <v>0</v>
      </c>
      <c r="H38" s="127">
        <f>SUM('June 2019'!H38+'May 2019'!H38+'April 2019'!H38+'March 2019'!H38+'Feb. 2019'!H38+'Jan. 2019'!H38+'Dec. 2018'!H38+'Nov. 2018'!H38+'Oct. 2018'!H38+'Sept. 2018'!H38+'Aug. 2018'!H38+'July 2018'!H38)</f>
        <v>1</v>
      </c>
      <c r="I38" s="127">
        <f>SUM('June 2019'!I38+'May 2019'!I38+'April 2019'!I38+'March 2019'!I38+'Feb. 2019'!I38+'Jan. 2019'!I38+'Dec. 2018'!I38+'Nov. 2018'!I38+'Oct. 2018'!I38+'Sept. 2018'!I38+'Aug. 2018'!I38+'July 2018'!I38)</f>
        <v>0</v>
      </c>
      <c r="J38" s="127">
        <f>SUM('June 2019'!J38+'May 2019'!J38+'April 2019'!J38+'March 2019'!J38+'Feb. 2019'!J38+'Jan. 2019'!J38+'Dec. 2018'!J38+'Nov. 2018'!J38+'Oct. 2018'!J38+'Sept. 2018'!J38+'Aug. 2018'!J38+'July 2018'!J38)</f>
        <v>0</v>
      </c>
      <c r="K38" s="127">
        <f>SUM('June 2019'!K38+'May 2019'!K38+'April 2019'!K38+'March 2019'!K38+'Feb. 2019'!K38+'Jan. 2019'!K38+'Dec. 2018'!K38+'Nov. 2018'!K38+'Oct. 2018'!K38+'Sept. 2018'!K38+'Aug. 2018'!K38+'July 2018'!K38)</f>
        <v>0</v>
      </c>
      <c r="L38" s="127">
        <f>SUM('June 2019'!L38+'May 2019'!L38+'April 2019'!L38+'March 2019'!L38+'Feb. 2019'!L38+'Jan. 2019'!L38+'Dec. 2018'!L38+'Nov. 2018'!L38+'Oct. 2018'!L38+'Sept. 2018'!L38+'Aug. 2018'!L38+'July 2018'!L38)</f>
        <v>0</v>
      </c>
      <c r="M38" s="127">
        <f t="shared" si="4"/>
        <v>1</v>
      </c>
    </row>
    <row r="39" spans="3:13" x14ac:dyDescent="0.3">
      <c r="C39" s="38" t="s">
        <v>41</v>
      </c>
      <c r="D39" s="127">
        <f>SUM('June 2019'!D39+'May 2019'!D39+'April 2019'!D39+'March 2019'!D39+'Feb. 2019'!D39+'Jan. 2019'!D39+'Dec. 2018'!D39+'Nov. 2018'!D39+'Oct. 2018'!D39+'Sept. 2018'!D39+'Aug. 2018'!D39+'July 2018'!D39)</f>
        <v>0</v>
      </c>
      <c r="E39" s="127">
        <f>SUM('July 2018:June 2019'!E39)</f>
        <v>0</v>
      </c>
      <c r="F39" s="127">
        <f>SUM('June 2019'!F39+'May 2019'!F39+'April 2019'!F39+'March 2019'!F39+'Feb. 2019'!F39+'Jan. 2019'!F39+'Dec. 2018'!F39+'Nov. 2018'!F39+'Oct. 2018'!F39+'Sept. 2018'!F39+'Aug. 2018'!F39+'July 2018'!F39)</f>
        <v>0</v>
      </c>
      <c r="G39" s="127">
        <f>SUM('June 2019'!G39+'May 2019'!G39+'April 2019'!G39+'March 2019'!G39+'Feb. 2019'!G39+'Jan. 2019'!G39+'Dec. 2018'!G39+'Nov. 2018'!G39+'Oct. 2018'!G39+'Sept. 2018'!G39+'Aug. 2018'!G39+'July 2018'!G39)</f>
        <v>0</v>
      </c>
      <c r="H39" s="127">
        <f>SUM('June 2019'!H39+'May 2019'!H39+'April 2019'!H39+'March 2019'!H39+'Feb. 2019'!H39+'Jan. 2019'!H39+'Dec. 2018'!H39+'Nov. 2018'!H39+'Oct. 2018'!H39+'Sept. 2018'!H39+'Aug. 2018'!H39+'July 2018'!H39)</f>
        <v>11</v>
      </c>
      <c r="I39" s="127">
        <f>SUM('June 2019'!I39+'May 2019'!I39+'April 2019'!I39+'March 2019'!I39+'Feb. 2019'!I39+'Jan. 2019'!I39+'Dec. 2018'!I39+'Nov. 2018'!I39+'Oct. 2018'!I39+'Sept. 2018'!I39+'Aug. 2018'!I39+'July 2018'!I39)</f>
        <v>0</v>
      </c>
      <c r="J39" s="127">
        <f>SUM('June 2019'!J39+'May 2019'!J39+'April 2019'!J39+'March 2019'!J39+'Feb. 2019'!J39+'Jan. 2019'!J39+'Dec. 2018'!J39+'Nov. 2018'!J39+'Oct. 2018'!J39+'Sept. 2018'!J39+'Aug. 2018'!J39+'July 2018'!J39)</f>
        <v>0</v>
      </c>
      <c r="K39" s="127">
        <f>SUM('June 2019'!K39+'May 2019'!K39+'April 2019'!K39+'March 2019'!K39+'Feb. 2019'!K39+'Jan. 2019'!K39+'Dec. 2018'!K39+'Nov. 2018'!K39+'Oct. 2018'!K39+'Sept. 2018'!K39+'Aug. 2018'!K39+'July 2018'!K39)</f>
        <v>2</v>
      </c>
      <c r="L39" s="127">
        <f>SUM('June 2019'!L39+'May 2019'!L39+'April 2019'!L39+'March 2019'!L39+'Feb. 2019'!L39+'Jan. 2019'!L39+'Dec. 2018'!L39+'Nov. 2018'!L39+'Oct. 2018'!L39+'Sept. 2018'!L39+'Aug. 2018'!L39+'July 2018'!L39)</f>
        <v>0</v>
      </c>
      <c r="M39" s="127">
        <f t="shared" si="4"/>
        <v>13</v>
      </c>
    </row>
    <row r="40" spans="3:13" x14ac:dyDescent="0.3">
      <c r="C40" s="38" t="s">
        <v>42</v>
      </c>
      <c r="D40" s="127">
        <f>SUM('June 2019'!D40+'May 2019'!D40+'April 2019'!D40+'March 2019'!D40+'Feb. 2019'!D40+'Jan. 2019'!D40+'Dec. 2018'!D40+'Nov. 2018'!D40+'Oct. 2018'!D40+'Sept. 2018'!D40+'Aug. 2018'!D40+'July 2018'!D40)</f>
        <v>8</v>
      </c>
      <c r="E40" s="127">
        <f>SUM('July 2018:June 2019'!E40)</f>
        <v>3</v>
      </c>
      <c r="F40" s="127">
        <f>SUM('June 2019'!F40+'May 2019'!F40+'April 2019'!F40+'March 2019'!F40+'Feb. 2019'!F40+'Jan. 2019'!F40+'Dec. 2018'!F40+'Nov. 2018'!F40+'Oct. 2018'!F40+'Sept. 2018'!F40+'Aug. 2018'!F40+'July 2018'!F40)</f>
        <v>7</v>
      </c>
      <c r="G40" s="127">
        <f>SUM('June 2019'!G40+'May 2019'!G40+'April 2019'!G40+'March 2019'!G40+'Feb. 2019'!G40+'Jan. 2019'!G40+'Dec. 2018'!G40+'Nov. 2018'!G40+'Oct. 2018'!G40+'Sept. 2018'!G40+'Aug. 2018'!G40+'July 2018'!G40)</f>
        <v>28</v>
      </c>
      <c r="H40" s="127">
        <f>SUM('June 2019'!H40+'May 2019'!H40+'April 2019'!H40+'March 2019'!H40+'Feb. 2019'!H40+'Jan. 2019'!H40+'Dec. 2018'!H40+'Nov. 2018'!H40+'Oct. 2018'!H40+'Sept. 2018'!H40+'Aug. 2018'!H40+'July 2018'!H40)</f>
        <v>4</v>
      </c>
      <c r="I40" s="127">
        <f>SUM('June 2019'!I40+'May 2019'!I40+'April 2019'!I40+'March 2019'!I40+'Feb. 2019'!I40+'Jan. 2019'!I40+'Dec. 2018'!I40+'Nov. 2018'!I40+'Oct. 2018'!I40+'Sept. 2018'!I40+'Aug. 2018'!I40+'July 2018'!I40)</f>
        <v>0</v>
      </c>
      <c r="J40" s="127">
        <f>SUM('June 2019'!J40+'May 2019'!J40+'April 2019'!J40+'March 2019'!J40+'Feb. 2019'!J40+'Jan. 2019'!J40+'Dec. 2018'!J40+'Nov. 2018'!J40+'Oct. 2018'!J40+'Sept. 2018'!J40+'Aug. 2018'!J40+'July 2018'!J40)</f>
        <v>6</v>
      </c>
      <c r="K40" s="127">
        <f>SUM('June 2019'!K40+'May 2019'!K40+'April 2019'!K40+'March 2019'!K40+'Feb. 2019'!K40+'Jan. 2019'!K40+'Dec. 2018'!K40+'Nov. 2018'!K40+'Oct. 2018'!K40+'Sept. 2018'!K40+'Aug. 2018'!K40+'July 2018'!K40)</f>
        <v>34</v>
      </c>
      <c r="L40" s="127">
        <f>SUM('June 2019'!L40+'May 2019'!L40+'April 2019'!L40+'March 2019'!L40+'Feb. 2019'!L40+'Jan. 2019'!L40+'Dec. 2018'!L40+'Nov. 2018'!L40+'Oct. 2018'!L40+'Sept. 2018'!L40+'Aug. 2018'!L40+'July 2018'!L40)</f>
        <v>5</v>
      </c>
      <c r="M40" s="127">
        <f t="shared" si="4"/>
        <v>95</v>
      </c>
    </row>
    <row r="41" spans="3:13" x14ac:dyDescent="0.3">
      <c r="C41" s="38" t="s">
        <v>43</v>
      </c>
      <c r="D41" s="127">
        <f>SUM('June 2019'!D41+'May 2019'!D41+'April 2019'!D41+'March 2019'!D41+'Feb. 2019'!D41+'Jan. 2019'!D41+'Dec. 2018'!D41+'Nov. 2018'!D41+'Oct. 2018'!D41+'Sept. 2018'!D41+'Aug. 2018'!D41+'July 2018'!D41)</f>
        <v>29</v>
      </c>
      <c r="E41" s="127">
        <f>SUM('July 2018:June 2019'!E41)</f>
        <v>12</v>
      </c>
      <c r="F41" s="127">
        <f>SUM('June 2019'!F41+'May 2019'!F41+'April 2019'!F41+'March 2019'!F41+'Feb. 2019'!F41+'Jan. 2019'!F41+'Dec. 2018'!F41+'Nov. 2018'!F41+'Oct. 2018'!F41+'Sept. 2018'!F41+'Aug. 2018'!F41+'July 2018'!F41)</f>
        <v>79</v>
      </c>
      <c r="G41" s="127">
        <f>SUM('June 2019'!G41+'May 2019'!G41+'April 2019'!G41+'March 2019'!G41+'Feb. 2019'!G41+'Jan. 2019'!G41+'Dec. 2018'!G41+'Nov. 2018'!G41+'Oct. 2018'!G41+'Sept. 2018'!G41+'Aug. 2018'!G41+'July 2018'!G41)</f>
        <v>19</v>
      </c>
      <c r="H41" s="127">
        <f>SUM('June 2019'!H41+'May 2019'!H41+'April 2019'!H41+'March 2019'!H41+'Feb. 2019'!H41+'Jan. 2019'!H41+'Dec. 2018'!H41+'Nov. 2018'!H41+'Oct. 2018'!H41+'Sept. 2018'!H41+'Aug. 2018'!H41+'July 2018'!H41)</f>
        <v>22</v>
      </c>
      <c r="I41" s="127">
        <f>SUM('June 2019'!I41+'May 2019'!I41+'April 2019'!I41+'March 2019'!I41+'Feb. 2019'!I41+'Jan. 2019'!I41+'Dec. 2018'!I41+'Nov. 2018'!I41+'Oct. 2018'!I41+'Sept. 2018'!I41+'Aug. 2018'!I41+'July 2018'!I41)</f>
        <v>17</v>
      </c>
      <c r="J41" s="127">
        <f>SUM('June 2019'!J41+'May 2019'!J41+'April 2019'!J41+'March 2019'!J41+'Feb. 2019'!J41+'Jan. 2019'!J41+'Dec. 2018'!J41+'Nov. 2018'!J41+'Oct. 2018'!J41+'Sept. 2018'!J41+'Aug. 2018'!J41+'July 2018'!J41)</f>
        <v>6</v>
      </c>
      <c r="K41" s="127">
        <f>SUM('June 2019'!K41+'May 2019'!K41+'April 2019'!K41+'March 2019'!K41+'Feb. 2019'!K41+'Jan. 2019'!K41+'Dec. 2018'!K41+'Nov. 2018'!K41+'Oct. 2018'!K41+'Sept. 2018'!K41+'Aug. 2018'!K41+'July 2018'!K41)</f>
        <v>201</v>
      </c>
      <c r="L41" s="127">
        <f>SUM('June 2019'!L41+'May 2019'!L41+'April 2019'!L41+'March 2019'!L41+'Feb. 2019'!L41+'Jan. 2019'!L41+'Dec. 2018'!L41+'Nov. 2018'!L41+'Oct. 2018'!L41+'Sept. 2018'!L41+'Aug. 2018'!L41+'July 2018'!L41)</f>
        <v>47</v>
      </c>
      <c r="M41" s="127">
        <f t="shared" si="4"/>
        <v>432</v>
      </c>
    </row>
    <row r="42" spans="3:13" x14ac:dyDescent="0.3">
      <c r="C42" s="38" t="s">
        <v>44</v>
      </c>
      <c r="D42" s="127">
        <f>SUM('June 2019'!D42+'May 2019'!D42+'April 2019'!D42+'March 2019'!D42+'Feb. 2019'!D42+'Jan. 2019'!D42+'Dec. 2018'!D42+'Nov. 2018'!D42+'Oct. 2018'!D42+'Sept. 2018'!D42+'Aug. 2018'!D42+'July 2018'!D42)</f>
        <v>2</v>
      </c>
      <c r="E42" s="127">
        <f>SUM('July 2018:June 2019'!E42)</f>
        <v>1</v>
      </c>
      <c r="F42" s="127">
        <f>SUM('June 2019'!F42+'May 2019'!F42+'April 2019'!F42+'March 2019'!F42+'Feb. 2019'!F42+'Jan. 2019'!F42+'Dec. 2018'!F42+'Nov. 2018'!F42+'Oct. 2018'!F42+'Sept. 2018'!F42+'Aug. 2018'!F42+'July 2018'!F42)</f>
        <v>1</v>
      </c>
      <c r="G42" s="127">
        <f>SUM('June 2019'!G42+'May 2019'!G42+'April 2019'!G42+'March 2019'!G42+'Feb. 2019'!G42+'Jan. 2019'!G42+'Dec. 2018'!G42+'Nov. 2018'!G42+'Oct. 2018'!G42+'Sept. 2018'!G42+'Aug. 2018'!G42+'July 2018'!G42)</f>
        <v>6</v>
      </c>
      <c r="H42" s="127">
        <f>SUM('June 2019'!H42+'May 2019'!H42+'April 2019'!H42+'March 2019'!H42+'Feb. 2019'!H42+'Jan. 2019'!H42+'Dec. 2018'!H42+'Nov. 2018'!H42+'Oct. 2018'!H42+'Sept. 2018'!H42+'Aug. 2018'!H42+'July 2018'!H42)</f>
        <v>5</v>
      </c>
      <c r="I42" s="127">
        <f>SUM('June 2019'!I42+'May 2019'!I42+'April 2019'!I42+'March 2019'!I42+'Feb. 2019'!I42+'Jan. 2019'!I42+'Dec. 2018'!I42+'Nov. 2018'!I42+'Oct. 2018'!I42+'Sept. 2018'!I42+'Aug. 2018'!I42+'July 2018'!I42)</f>
        <v>0</v>
      </c>
      <c r="J42" s="127">
        <f>SUM('June 2019'!J42+'May 2019'!J42+'April 2019'!J42+'March 2019'!J42+'Feb. 2019'!J42+'Jan. 2019'!J42+'Dec. 2018'!J42+'Nov. 2018'!J42+'Oct. 2018'!J42+'Sept. 2018'!J42+'Aug. 2018'!J42+'July 2018'!J42)</f>
        <v>1</v>
      </c>
      <c r="K42" s="127">
        <f>SUM('June 2019'!K42+'May 2019'!K42+'April 2019'!K42+'March 2019'!K42+'Feb. 2019'!K42+'Jan. 2019'!K42+'Dec. 2018'!K42+'Nov. 2018'!K42+'Oct. 2018'!K42+'Sept. 2018'!K42+'Aug. 2018'!K42+'July 2018'!K42)</f>
        <v>3</v>
      </c>
      <c r="L42" s="127">
        <f>SUM('June 2019'!L42+'May 2019'!L42+'April 2019'!L42+'March 2019'!L42+'Feb. 2019'!L42+'Jan. 2019'!L42+'Dec. 2018'!L42+'Nov. 2018'!L42+'Oct. 2018'!L42+'Sept. 2018'!L42+'Aug. 2018'!L42+'July 2018'!L42)</f>
        <v>3</v>
      </c>
      <c r="M42" s="127">
        <f t="shared" si="4"/>
        <v>22</v>
      </c>
    </row>
    <row r="43" spans="3:13" x14ac:dyDescent="0.3">
      <c r="C43" s="37" t="s">
        <v>45</v>
      </c>
      <c r="D43" s="127">
        <f>SUM('June 2019'!D43+'May 2019'!D43+'April 2019'!D43+'March 2019'!D43+'Feb. 2019'!D43+'Jan. 2019'!D43+'Dec. 2018'!D43+'Nov. 2018'!D43+'Oct. 2018'!D43+'Sept. 2018'!D43+'Aug. 2018'!D43+'July 2018'!D43)</f>
        <v>13</v>
      </c>
      <c r="E43" s="127">
        <f>SUM('July 2018:June 2019'!E43)</f>
        <v>6</v>
      </c>
      <c r="F43" s="127">
        <f>SUM('June 2019'!F43+'May 2019'!F43+'April 2019'!F43+'March 2019'!F43+'Feb. 2019'!F43+'Jan. 2019'!F43+'Dec. 2018'!F43+'Nov. 2018'!F43+'Oct. 2018'!F43+'Sept. 2018'!F43+'Aug. 2018'!F43+'July 2018'!F43)</f>
        <v>29</v>
      </c>
      <c r="G43" s="127">
        <f>SUM('June 2019'!G43+'May 2019'!G43+'April 2019'!G43+'March 2019'!G43+'Feb. 2019'!G43+'Jan. 2019'!G43+'Dec. 2018'!G43+'Nov. 2018'!G43+'Oct. 2018'!G43+'Sept. 2018'!G43+'Aug. 2018'!G43+'July 2018'!G43)</f>
        <v>19</v>
      </c>
      <c r="H43" s="127">
        <f>SUM('June 2019'!H43+'May 2019'!H43+'April 2019'!H43+'March 2019'!H43+'Feb. 2019'!H43+'Jan. 2019'!H43+'Dec. 2018'!H43+'Nov. 2018'!H43+'Oct. 2018'!H43+'Sept. 2018'!H43+'Aug. 2018'!H43+'July 2018'!H43)</f>
        <v>52</v>
      </c>
      <c r="I43" s="127">
        <f>SUM('June 2019'!I43+'May 2019'!I43+'April 2019'!I43+'March 2019'!I43+'Feb. 2019'!I43+'Jan. 2019'!I43+'Dec. 2018'!I43+'Nov. 2018'!I43+'Oct. 2018'!I43+'Sept. 2018'!I43+'Aug. 2018'!I43+'July 2018'!I43)</f>
        <v>23</v>
      </c>
      <c r="J43" s="127">
        <f>SUM('June 2019'!J43+'May 2019'!J43+'April 2019'!J43+'March 2019'!J43+'Feb. 2019'!J43+'Jan. 2019'!J43+'Dec. 2018'!J43+'Nov. 2018'!J43+'Oct. 2018'!J43+'Sept. 2018'!J43+'Aug. 2018'!J43+'July 2018'!J43)</f>
        <v>34</v>
      </c>
      <c r="K43" s="127">
        <f>SUM('June 2019'!K43+'May 2019'!K43+'April 2019'!K43+'March 2019'!K43+'Feb. 2019'!K43+'Jan. 2019'!K43+'Dec. 2018'!K43+'Nov. 2018'!K43+'Oct. 2018'!K43+'Sept. 2018'!K43+'Aug. 2018'!K43+'July 2018'!K43)</f>
        <v>59</v>
      </c>
      <c r="L43" s="127">
        <f>SUM('June 2019'!L43+'May 2019'!L43+'April 2019'!L43+'March 2019'!L43+'Feb. 2019'!L43+'Jan. 2019'!L43+'Dec. 2018'!L43+'Nov. 2018'!L43+'Oct. 2018'!L43+'Sept. 2018'!L43+'Aug. 2018'!L43+'July 2018'!L43)</f>
        <v>12</v>
      </c>
      <c r="M43" s="127">
        <f t="shared" si="4"/>
        <v>247</v>
      </c>
    </row>
    <row r="44" spans="3:13" x14ac:dyDescent="0.3">
      <c r="C44" s="37" t="s">
        <v>46</v>
      </c>
      <c r="D44" s="127">
        <f>SUM('June 2019'!D44+'May 2019'!D44+'April 2019'!D44+'March 2019'!D44+'Feb. 2019'!D44+'Jan. 2019'!D44+'Dec. 2018'!D44+'Nov. 2018'!D44+'Oct. 2018'!D44+'Sept. 2018'!D44+'Aug. 2018'!D44+'July 2018'!D44)</f>
        <v>0</v>
      </c>
      <c r="E44" s="127">
        <f>SUM('July 2018:June 2019'!E44)</f>
        <v>0</v>
      </c>
      <c r="F44" s="127">
        <f>SUM('June 2019'!F44+'May 2019'!F44+'April 2019'!F44+'March 2019'!F44+'Feb. 2019'!F44+'Jan. 2019'!F44+'Dec. 2018'!F44+'Nov. 2018'!F44+'Oct. 2018'!F44+'Sept. 2018'!F44+'Aug. 2018'!F44+'July 2018'!F44)</f>
        <v>0</v>
      </c>
      <c r="G44" s="127">
        <f>SUM('June 2019'!G44+'May 2019'!G44+'April 2019'!G44+'March 2019'!G44+'Feb. 2019'!G44+'Jan. 2019'!G44+'Dec. 2018'!G44+'Nov. 2018'!G44+'Oct. 2018'!G44+'Sept. 2018'!G44+'Aug. 2018'!G44+'July 2018'!G44)</f>
        <v>0</v>
      </c>
      <c r="H44" s="127">
        <f>SUM('June 2019'!H44+'May 2019'!H44+'April 2019'!H44+'March 2019'!H44+'Feb. 2019'!H44+'Jan. 2019'!H44+'Dec. 2018'!H44+'Nov. 2018'!H44+'Oct. 2018'!H44+'Sept. 2018'!H44+'Aug. 2018'!H44+'July 2018'!H44)</f>
        <v>0</v>
      </c>
      <c r="I44" s="127">
        <f>SUM('June 2019'!I44+'May 2019'!I44+'April 2019'!I44+'March 2019'!I44+'Feb. 2019'!I44+'Jan. 2019'!I44+'Dec. 2018'!I44+'Nov. 2018'!I44+'Oct. 2018'!I44+'Sept. 2018'!I44+'Aug. 2018'!I44+'July 2018'!I44)</f>
        <v>0</v>
      </c>
      <c r="J44" s="127">
        <f>SUM('June 2019'!J44+'May 2019'!J44+'April 2019'!J44+'March 2019'!J44+'Feb. 2019'!J44+'Jan. 2019'!J44+'Dec. 2018'!J44+'Nov. 2018'!J44+'Oct. 2018'!J44+'Sept. 2018'!J44+'Aug. 2018'!J44+'July 2018'!J44)</f>
        <v>0</v>
      </c>
      <c r="K44" s="127">
        <f>SUM('June 2019'!K44+'May 2019'!K44+'April 2019'!K44+'March 2019'!K44+'Feb. 2019'!K44+'Jan. 2019'!K44+'Dec. 2018'!K44+'Nov. 2018'!K44+'Oct. 2018'!K44+'Sept. 2018'!K44+'Aug. 2018'!K44+'July 2018'!K44)</f>
        <v>0</v>
      </c>
      <c r="L44" s="127">
        <f>SUM('June 2019'!L44+'May 2019'!L44+'April 2019'!L44+'March 2019'!L44+'Feb. 2019'!L44+'Jan. 2019'!L44+'Dec. 2018'!L44+'Nov. 2018'!L44+'Oct. 2018'!L44+'Sept. 2018'!L44+'Aug. 2018'!L44+'July 2018'!L44)</f>
        <v>0</v>
      </c>
      <c r="M44" s="127">
        <f t="shared" si="4"/>
        <v>0</v>
      </c>
    </row>
    <row r="45" spans="3:13" x14ac:dyDescent="0.3">
      <c r="C45" s="37" t="s">
        <v>47</v>
      </c>
      <c r="D45" s="127">
        <f>SUM('June 2019'!D45+'May 2019'!D45+'April 2019'!D45+'March 2019'!D45+'Feb. 2019'!D45+'Jan. 2019'!D45+'Dec. 2018'!D45+'Nov. 2018'!D45+'Oct. 2018'!D45+'Sept. 2018'!D45+'Aug. 2018'!D45+'July 2018'!D45)</f>
        <v>0</v>
      </c>
      <c r="E45" s="127">
        <f>SUM('July 2018:June 2019'!E45)</f>
        <v>0</v>
      </c>
      <c r="F45" s="127">
        <f>SUM('June 2019'!F45+'May 2019'!F45+'April 2019'!F45+'March 2019'!F45+'Feb. 2019'!F45+'Jan. 2019'!F45+'Dec. 2018'!F45+'Nov. 2018'!F45+'Oct. 2018'!F45+'Sept. 2018'!F45+'Aug. 2018'!F45+'July 2018'!F45)</f>
        <v>0</v>
      </c>
      <c r="G45" s="127">
        <f>SUM('June 2019'!G45+'May 2019'!G45+'April 2019'!G45+'March 2019'!G45+'Feb. 2019'!G45+'Jan. 2019'!G45+'Dec. 2018'!G45+'Nov. 2018'!G45+'Oct. 2018'!G45+'Sept. 2018'!G45+'Aug. 2018'!G45+'July 2018'!G45)</f>
        <v>0</v>
      </c>
      <c r="H45" s="127">
        <f>SUM('June 2019'!H45+'May 2019'!H45+'April 2019'!H45+'March 2019'!H45+'Feb. 2019'!H45+'Jan. 2019'!H45+'Dec. 2018'!H45+'Nov. 2018'!H45+'Oct. 2018'!H45+'Sept. 2018'!H45+'Aug. 2018'!H45+'July 2018'!H45)</f>
        <v>0</v>
      </c>
      <c r="I45" s="127">
        <f>SUM('June 2019'!I45+'May 2019'!I45+'April 2019'!I45+'March 2019'!I45+'Feb. 2019'!I45+'Jan. 2019'!I45+'Dec. 2018'!I45+'Nov. 2018'!I45+'Oct. 2018'!I45+'Sept. 2018'!I45+'Aug. 2018'!I45+'July 2018'!I45)</f>
        <v>0</v>
      </c>
      <c r="J45" s="127">
        <f>SUM('June 2019'!J45+'May 2019'!J45+'April 2019'!J45+'March 2019'!J45+'Feb. 2019'!J45+'Jan. 2019'!J45+'Dec. 2018'!J45+'Nov. 2018'!J45+'Oct. 2018'!J45+'Sept. 2018'!J45+'Aug. 2018'!J45+'July 2018'!J45)</f>
        <v>0</v>
      </c>
      <c r="K45" s="127">
        <f>SUM('June 2019'!K45+'May 2019'!K45+'April 2019'!K45+'March 2019'!K45+'Feb. 2019'!K45+'Jan. 2019'!K45+'Dec. 2018'!K45+'Nov. 2018'!K45+'Oct. 2018'!K45+'Sept. 2018'!K45+'Aug. 2018'!K45+'July 2018'!K45)</f>
        <v>0</v>
      </c>
      <c r="L45" s="127">
        <f>SUM('June 2019'!L45+'May 2019'!L45+'April 2019'!L45+'March 2019'!L45+'Feb. 2019'!L45+'Jan. 2019'!L45+'Dec. 2018'!L45+'Nov. 2018'!L45+'Oct. 2018'!L45+'Sept. 2018'!L45+'Aug. 2018'!L45+'July 2018'!L45)</f>
        <v>0</v>
      </c>
      <c r="M45" s="127">
        <f t="shared" si="4"/>
        <v>0</v>
      </c>
    </row>
    <row r="46" spans="3:13" x14ac:dyDescent="0.3">
      <c r="C46" s="37" t="s">
        <v>48</v>
      </c>
      <c r="D46" s="127">
        <f>SUM('June 2019'!D46+'May 2019'!D46+'April 2019'!D46+'March 2019'!D46+'Feb. 2019'!D46+'Jan. 2019'!D46+'Dec. 2018'!D46+'Nov. 2018'!D46+'Oct. 2018'!D46+'Sept. 2018'!D46+'Aug. 2018'!D46+'July 2018'!D46)</f>
        <v>0</v>
      </c>
      <c r="E46" s="127">
        <f>SUM('July 2018:June 2019'!E46)</f>
        <v>0</v>
      </c>
      <c r="F46" s="127">
        <f>SUM('June 2019'!F46+'May 2019'!F46+'April 2019'!F46+'March 2019'!F46+'Feb. 2019'!F46+'Jan. 2019'!F46+'Dec. 2018'!F46+'Nov. 2018'!F46+'Oct. 2018'!F46+'Sept. 2018'!F46+'Aug. 2018'!F46+'July 2018'!F46)</f>
        <v>0</v>
      </c>
      <c r="G46" s="127">
        <f>SUM('June 2019'!G46+'May 2019'!G46+'April 2019'!G46+'March 2019'!G46+'Feb. 2019'!G46+'Jan. 2019'!G46+'Dec. 2018'!G46+'Nov. 2018'!G46+'Oct. 2018'!G46+'Sept. 2018'!G46+'Aug. 2018'!G46+'July 2018'!G46)</f>
        <v>0</v>
      </c>
      <c r="H46" s="127">
        <f>SUM('June 2019'!H46+'May 2019'!H46+'April 2019'!H46+'March 2019'!H46+'Feb. 2019'!H46+'Jan. 2019'!H46+'Dec. 2018'!H46+'Nov. 2018'!H46+'Oct. 2018'!H46+'Sept. 2018'!H46+'Aug. 2018'!H46+'July 2018'!H46)</f>
        <v>0</v>
      </c>
      <c r="I46" s="127">
        <f>SUM('June 2019'!I46+'May 2019'!I46+'April 2019'!I46+'March 2019'!I46+'Feb. 2019'!I46+'Jan. 2019'!I46+'Dec. 2018'!I46+'Nov. 2018'!I46+'Oct. 2018'!I46+'Sept. 2018'!I46+'Aug. 2018'!I46+'July 2018'!I46)</f>
        <v>0</v>
      </c>
      <c r="J46" s="127">
        <f>SUM('June 2019'!J46+'May 2019'!J46+'April 2019'!J46+'March 2019'!J46+'Feb. 2019'!J46+'Jan. 2019'!J46+'Dec. 2018'!J46+'Nov. 2018'!J46+'Oct. 2018'!J46+'Sept. 2018'!J46+'Aug. 2018'!J46+'July 2018'!J46)</f>
        <v>0</v>
      </c>
      <c r="K46" s="127">
        <f>SUM('June 2019'!K46+'May 2019'!K46+'April 2019'!K46+'March 2019'!K46+'Feb. 2019'!K46+'Jan. 2019'!K46+'Dec. 2018'!K46+'Nov. 2018'!K46+'Oct. 2018'!K46+'Sept. 2018'!K46+'Aug. 2018'!K46+'July 2018'!K46)</f>
        <v>0</v>
      </c>
      <c r="L46" s="127">
        <f>SUM('June 2019'!L46+'May 2019'!L46+'April 2019'!L46+'March 2019'!L46+'Feb. 2019'!L46+'Jan. 2019'!L46+'Dec. 2018'!L46+'Nov. 2018'!L46+'Oct. 2018'!L46+'Sept. 2018'!L46+'Aug. 2018'!L46+'July 2018'!L46)</f>
        <v>0</v>
      </c>
      <c r="M46" s="127">
        <f t="shared" si="4"/>
        <v>0</v>
      </c>
    </row>
    <row r="47" spans="3:13" x14ac:dyDescent="0.3">
      <c r="C47" s="38" t="s">
        <v>49</v>
      </c>
      <c r="D47" s="127">
        <f>SUM('June 2019'!D47+'May 2019'!D47+'April 2019'!D47+'March 2019'!D47+'Feb. 2019'!D47+'Jan. 2019'!D47+'Dec. 2018'!D47+'Nov. 2018'!D47+'Oct. 2018'!D47+'Sept. 2018'!D47+'Aug. 2018'!D47+'July 2018'!D47)</f>
        <v>0</v>
      </c>
      <c r="E47" s="127">
        <f>SUM('July 2018:June 2019'!E47)</f>
        <v>0</v>
      </c>
      <c r="F47" s="127">
        <f>SUM('June 2019'!F47+'May 2019'!F47+'April 2019'!F47+'March 2019'!F47+'Feb. 2019'!F47+'Jan. 2019'!F47+'Dec. 2018'!F47+'Nov. 2018'!F47+'Oct. 2018'!F47+'Sept. 2018'!F47+'Aug. 2018'!F47+'July 2018'!F47)</f>
        <v>0</v>
      </c>
      <c r="G47" s="127">
        <f>SUM('June 2019'!G47+'May 2019'!G47+'April 2019'!G47+'March 2019'!G47+'Feb. 2019'!G47+'Jan. 2019'!G47+'Dec. 2018'!G47+'Nov. 2018'!G47+'Oct. 2018'!G47+'Sept. 2018'!G47+'Aug. 2018'!G47+'July 2018'!G47)</f>
        <v>0</v>
      </c>
      <c r="H47" s="127">
        <f>SUM('June 2019'!H47+'May 2019'!H47+'April 2019'!H47+'March 2019'!H47+'Feb. 2019'!H47+'Jan. 2019'!H47+'Dec. 2018'!H47+'Nov. 2018'!H47+'Oct. 2018'!H47+'Sept. 2018'!H47+'Aug. 2018'!H47+'July 2018'!H47)</f>
        <v>0</v>
      </c>
      <c r="I47" s="127">
        <f>SUM('June 2019'!I47+'May 2019'!I47+'April 2019'!I47+'March 2019'!I47+'Feb. 2019'!I47+'Jan. 2019'!I47+'Dec. 2018'!I47+'Nov. 2018'!I47+'Oct. 2018'!I47+'Sept. 2018'!I47+'Aug. 2018'!I47+'July 2018'!I47)</f>
        <v>1</v>
      </c>
      <c r="J47" s="127">
        <f>SUM('June 2019'!J47+'May 2019'!J47+'April 2019'!J47+'March 2019'!J47+'Feb. 2019'!J47+'Jan. 2019'!J47+'Dec. 2018'!J47+'Nov. 2018'!J47+'Oct. 2018'!J47+'Sept. 2018'!J47+'Aug. 2018'!J47+'July 2018'!J47)</f>
        <v>0</v>
      </c>
      <c r="K47" s="127">
        <f>SUM('June 2019'!K47+'May 2019'!K47+'April 2019'!K47+'March 2019'!K47+'Feb. 2019'!K47+'Jan. 2019'!K47+'Dec. 2018'!K47+'Nov. 2018'!K47+'Oct. 2018'!K47+'Sept. 2018'!K47+'Aug. 2018'!K47+'July 2018'!K47)</f>
        <v>0</v>
      </c>
      <c r="L47" s="127">
        <f>SUM('June 2019'!L47+'May 2019'!L47+'April 2019'!L47+'March 2019'!L47+'Feb. 2019'!L47+'Jan. 2019'!L47+'Dec. 2018'!L47+'Nov. 2018'!L47+'Oct. 2018'!L47+'Sept. 2018'!L47+'Aug. 2018'!L47+'July 2018'!L47)</f>
        <v>0</v>
      </c>
      <c r="M47" s="127">
        <f t="shared" si="4"/>
        <v>1</v>
      </c>
    </row>
    <row r="48" spans="3:13" x14ac:dyDescent="0.3">
      <c r="C48" s="37" t="s">
        <v>50</v>
      </c>
      <c r="D48" s="127">
        <f>SUM('June 2019'!D48+'May 2019'!D48+'April 2019'!D48+'March 2019'!D48+'Feb. 2019'!D48+'Jan. 2019'!D48+'Dec. 2018'!D48+'Nov. 2018'!D48+'Oct. 2018'!D48+'Sept. 2018'!D48+'Aug. 2018'!D48+'July 2018'!D48)</f>
        <v>67</v>
      </c>
      <c r="E48" s="127">
        <f>SUM('July 2018:June 2019'!E48)</f>
        <v>56</v>
      </c>
      <c r="F48" s="127">
        <f>SUM('June 2019'!F48+'May 2019'!F48+'April 2019'!F48+'March 2019'!F48+'Feb. 2019'!F48+'Jan. 2019'!F48+'Dec. 2018'!F48+'Nov. 2018'!F48+'Oct. 2018'!F48+'Sept. 2018'!F48+'Aug. 2018'!F48+'July 2018'!F48)</f>
        <v>115</v>
      </c>
      <c r="G48" s="127">
        <f>SUM('June 2019'!G48+'May 2019'!G48+'April 2019'!G48+'March 2019'!G48+'Feb. 2019'!G48+'Jan. 2019'!G48+'Dec. 2018'!G48+'Nov. 2018'!G48+'Oct. 2018'!G48+'Sept. 2018'!G48+'Aug. 2018'!G48+'July 2018'!G48)</f>
        <v>188</v>
      </c>
      <c r="H48" s="127">
        <f>SUM('June 2019'!H48+'May 2019'!H48+'April 2019'!H48+'March 2019'!H48+'Feb. 2019'!H48+'Jan. 2019'!H48+'Dec. 2018'!H48+'Nov. 2018'!H48+'Oct. 2018'!H48+'Sept. 2018'!H48+'Aug. 2018'!H48+'July 2018'!H48)</f>
        <v>143</v>
      </c>
      <c r="I48" s="127">
        <f>SUM('June 2019'!I48+'May 2019'!I48+'April 2019'!I48+'March 2019'!I48+'Feb. 2019'!I48+'Jan. 2019'!I48+'Dec. 2018'!I48+'Nov. 2018'!I48+'Oct. 2018'!I48+'Sept. 2018'!I48+'Aug. 2018'!I48+'July 2018'!I48)</f>
        <v>23</v>
      </c>
      <c r="J48" s="127">
        <f>SUM('June 2019'!J48+'May 2019'!J48+'April 2019'!J48+'March 2019'!J48+'Feb. 2019'!J48+'Jan. 2019'!J48+'Dec. 2018'!J48+'Nov. 2018'!J48+'Oct. 2018'!J48+'Sept. 2018'!J48+'Aug. 2018'!J48+'July 2018'!J48)</f>
        <v>33</v>
      </c>
      <c r="K48" s="127">
        <f>SUM('June 2019'!K48+'May 2019'!K48+'April 2019'!K48+'March 2019'!K48+'Feb. 2019'!K48+'Jan. 2019'!K48+'Dec. 2018'!K48+'Nov. 2018'!K48+'Oct. 2018'!K48+'Sept. 2018'!K48+'Aug. 2018'!K48+'July 2018'!K48)</f>
        <v>296</v>
      </c>
      <c r="L48" s="127">
        <f>SUM('June 2019'!L48+'May 2019'!L48+'April 2019'!L48+'March 2019'!L48+'Feb. 2019'!L48+'Jan. 2019'!L48+'Dec. 2018'!L48+'Nov. 2018'!L48+'Oct. 2018'!L48+'Sept. 2018'!L48+'Aug. 2018'!L48+'July 2018'!L48)</f>
        <v>110</v>
      </c>
      <c r="M48" s="127">
        <f t="shared" si="4"/>
        <v>1031</v>
      </c>
    </row>
    <row r="49" spans="2:14" x14ac:dyDescent="0.3">
      <c r="C49" s="38" t="s">
        <v>51</v>
      </c>
      <c r="D49" s="127">
        <f>SUM('June 2019'!D49+'May 2019'!D49+'April 2019'!D49+'March 2019'!D49+'Feb. 2019'!D49+'Jan. 2019'!D49+'Dec. 2018'!D49+'Nov. 2018'!D49+'Oct. 2018'!D49+'Sept. 2018'!D49+'Aug. 2018'!D49+'July 2018'!D49)</f>
        <v>0</v>
      </c>
      <c r="E49" s="127">
        <f>SUM('July 2018:June 2019'!E49)</f>
        <v>0</v>
      </c>
      <c r="F49" s="127">
        <f>SUM('June 2019'!F49+'May 2019'!F49+'April 2019'!F49+'March 2019'!F49+'Feb. 2019'!F49+'Jan. 2019'!F49+'Dec. 2018'!F49+'Nov. 2018'!F49+'Oct. 2018'!F49+'Sept. 2018'!F49+'Aug. 2018'!F49+'July 2018'!F49)</f>
        <v>0</v>
      </c>
      <c r="G49" s="127">
        <f>SUM('June 2019'!G49+'May 2019'!G49+'April 2019'!G49+'March 2019'!G49+'Feb. 2019'!G49+'Jan. 2019'!G49+'Dec. 2018'!G49+'Nov. 2018'!G49+'Oct. 2018'!G49+'Sept. 2018'!G49+'Aug. 2018'!G49+'July 2018'!G49)</f>
        <v>0</v>
      </c>
      <c r="H49" s="127">
        <f>SUM('June 2019'!H49+'May 2019'!H49+'April 2019'!H49+'March 2019'!H49+'Feb. 2019'!H49+'Jan. 2019'!H49+'Dec. 2018'!H49+'Nov. 2018'!H49+'Oct. 2018'!H49+'Sept. 2018'!H49+'Aug. 2018'!H49+'July 2018'!H49)</f>
        <v>0</v>
      </c>
      <c r="I49" s="127">
        <f>SUM('June 2019'!I49+'May 2019'!I49+'April 2019'!I49+'March 2019'!I49+'Feb. 2019'!I49+'Jan. 2019'!I49+'Dec. 2018'!I49+'Nov. 2018'!I49+'Oct. 2018'!I49+'Sept. 2018'!I49+'Aug. 2018'!I49+'July 2018'!I49)</f>
        <v>0</v>
      </c>
      <c r="J49" s="127">
        <f>SUM('June 2019'!J49+'May 2019'!J49+'April 2019'!J49+'March 2019'!J49+'Feb. 2019'!J49+'Jan. 2019'!J49+'Dec. 2018'!J49+'Nov. 2018'!J49+'Oct. 2018'!J49+'Sept. 2018'!J49+'Aug. 2018'!J49+'July 2018'!J49)</f>
        <v>0</v>
      </c>
      <c r="K49" s="127">
        <f>SUM('June 2019'!K49+'May 2019'!K49+'April 2019'!K49+'March 2019'!K49+'Feb. 2019'!K49+'Jan. 2019'!K49+'Dec. 2018'!K49+'Nov. 2018'!K49+'Oct. 2018'!K49+'Sept. 2018'!K49+'Aug. 2018'!K49+'July 2018'!K49)</f>
        <v>0</v>
      </c>
      <c r="L49" s="127">
        <f>SUM('June 2019'!L49+'May 2019'!L49+'April 2019'!L49+'March 2019'!L49+'Feb. 2019'!L49+'Jan. 2019'!L49+'Dec. 2018'!L49+'Nov. 2018'!L49+'Oct. 2018'!L49+'Sept. 2018'!L49+'Aug. 2018'!L49+'July 2018'!L49)</f>
        <v>0</v>
      </c>
      <c r="M49" s="127">
        <f t="shared" si="4"/>
        <v>0</v>
      </c>
    </row>
    <row r="50" spans="2:14" x14ac:dyDescent="0.3">
      <c r="C50" s="38" t="s">
        <v>52</v>
      </c>
      <c r="D50" s="127">
        <f>SUM('June 2019'!D50+'May 2019'!D50+'April 2019'!D50+'March 2019'!D50+'Feb. 2019'!D50+'Jan. 2019'!D50+'Dec. 2018'!D50+'Nov. 2018'!D50+'Oct. 2018'!D50+'Sept. 2018'!D50+'Aug. 2018'!D50+'July 2018'!D50)</f>
        <v>0</v>
      </c>
      <c r="E50" s="127">
        <f>SUM('July 2018:June 2019'!E50)</f>
        <v>0</v>
      </c>
      <c r="F50" s="127">
        <f>SUM('June 2019'!F50+'May 2019'!F50+'April 2019'!F50+'March 2019'!F50+'Feb. 2019'!F50+'Jan. 2019'!F50+'Dec. 2018'!F50+'Nov. 2018'!F50+'Oct. 2018'!F50+'Sept. 2018'!F50+'Aug. 2018'!F50+'July 2018'!F50)</f>
        <v>0</v>
      </c>
      <c r="G50" s="127">
        <f>SUM('June 2019'!G50+'May 2019'!G50+'April 2019'!G50+'March 2019'!G50+'Feb. 2019'!G50+'Jan. 2019'!G50+'Dec. 2018'!G50+'Nov. 2018'!G50+'Oct. 2018'!G50+'Sept. 2018'!G50+'Aug. 2018'!G50+'July 2018'!G50)</f>
        <v>0</v>
      </c>
      <c r="H50" s="127">
        <f>SUM('June 2019'!H50+'May 2019'!H50+'April 2019'!H50+'March 2019'!H50+'Feb. 2019'!H50+'Jan. 2019'!H50+'Dec. 2018'!H50+'Nov. 2018'!H50+'Oct. 2018'!H50+'Sept. 2018'!H50+'Aug. 2018'!H50+'July 2018'!H50)</f>
        <v>0</v>
      </c>
      <c r="I50" s="127">
        <f>SUM('June 2019'!I50+'May 2019'!I50+'April 2019'!I50+'March 2019'!I50+'Feb. 2019'!I50+'Jan. 2019'!I50+'Dec. 2018'!I50+'Nov. 2018'!I50+'Oct. 2018'!I50+'Sept. 2018'!I50+'Aug. 2018'!I50+'July 2018'!I50)</f>
        <v>1</v>
      </c>
      <c r="J50" s="127">
        <f>SUM('June 2019'!J50+'May 2019'!J50+'April 2019'!J50+'March 2019'!J50+'Feb. 2019'!J50+'Jan. 2019'!J50+'Dec. 2018'!J50+'Nov. 2018'!J50+'Oct. 2018'!J50+'Sept. 2018'!J50+'Aug. 2018'!J50+'July 2018'!J50)</f>
        <v>0</v>
      </c>
      <c r="K50" s="127">
        <f>SUM('June 2019'!K50+'May 2019'!K50+'April 2019'!K50+'March 2019'!K50+'Feb. 2019'!K50+'Jan. 2019'!K50+'Dec. 2018'!K50+'Nov. 2018'!K50+'Oct. 2018'!K50+'Sept. 2018'!K50+'Aug. 2018'!K50+'July 2018'!K50)</f>
        <v>0</v>
      </c>
      <c r="L50" s="127">
        <f>SUM('June 2019'!L50+'May 2019'!L50+'April 2019'!L50+'March 2019'!L50+'Feb. 2019'!L50+'Jan. 2019'!L50+'Dec. 2018'!L50+'Nov. 2018'!L50+'Oct. 2018'!L50+'Sept. 2018'!L50+'Aug. 2018'!L50+'July 2018'!L50)</f>
        <v>0</v>
      </c>
      <c r="M50" s="127">
        <f t="shared" si="4"/>
        <v>1</v>
      </c>
    </row>
    <row r="51" spans="2:14" x14ac:dyDescent="0.3">
      <c r="C51" s="38" t="s">
        <v>53</v>
      </c>
      <c r="D51" s="127">
        <f>SUM('June 2019'!D51+'May 2019'!D51+'April 2019'!D51+'March 2019'!D51+'Feb. 2019'!D51+'Jan. 2019'!D51+'Dec. 2018'!D51+'Nov. 2018'!D51+'Oct. 2018'!D51+'Sept. 2018'!D51+'Aug. 2018'!D51+'July 2018'!D51)</f>
        <v>13</v>
      </c>
      <c r="E51" s="127">
        <f>SUM('July 2018:June 2019'!E51)</f>
        <v>6</v>
      </c>
      <c r="F51" s="127">
        <f>SUM('June 2019'!F51+'May 2019'!F51+'April 2019'!F51+'March 2019'!F51+'Feb. 2019'!F51+'Jan. 2019'!F51+'Dec. 2018'!F51+'Nov. 2018'!F51+'Oct. 2018'!F51+'Sept. 2018'!F51+'Aug. 2018'!F51+'July 2018'!F51)</f>
        <v>13</v>
      </c>
      <c r="G51" s="127">
        <f>SUM('June 2019'!G51+'May 2019'!G51+'April 2019'!G51+'March 2019'!G51+'Feb. 2019'!G51+'Jan. 2019'!G51+'Dec. 2018'!G51+'Nov. 2018'!G51+'Oct. 2018'!G51+'Sept. 2018'!G51+'Aug. 2018'!G51+'July 2018'!G51)</f>
        <v>10</v>
      </c>
      <c r="H51" s="127">
        <f>SUM('June 2019'!H51+'May 2019'!H51+'April 2019'!H51+'March 2019'!H51+'Feb. 2019'!H51+'Jan. 2019'!H51+'Dec. 2018'!H51+'Nov. 2018'!H51+'Oct. 2018'!H51+'Sept. 2018'!H51+'Aug. 2018'!H51+'July 2018'!H51)</f>
        <v>1</v>
      </c>
      <c r="I51" s="127">
        <f>SUM('June 2019'!I51+'May 2019'!I51+'April 2019'!I51+'March 2019'!I51+'Feb. 2019'!I51+'Jan. 2019'!I51+'Dec. 2018'!I51+'Nov. 2018'!I51+'Oct. 2018'!I51+'Sept. 2018'!I51+'Aug. 2018'!I51+'July 2018'!I51)</f>
        <v>18</v>
      </c>
      <c r="J51" s="127">
        <f>SUM('June 2019'!J51+'May 2019'!J51+'April 2019'!J51+'March 2019'!J51+'Feb. 2019'!J51+'Jan. 2019'!J51+'Dec. 2018'!J51+'Nov. 2018'!J51+'Oct. 2018'!J51+'Sept. 2018'!J51+'Aug. 2018'!J51+'July 2018'!J51)</f>
        <v>0</v>
      </c>
      <c r="K51" s="127">
        <f>SUM('June 2019'!K51+'May 2019'!K51+'April 2019'!K51+'March 2019'!K51+'Feb. 2019'!K51+'Jan. 2019'!K51+'Dec. 2018'!K51+'Nov. 2018'!K51+'Oct. 2018'!K51+'Sept. 2018'!K51+'Aug. 2018'!K51+'July 2018'!K51)</f>
        <v>73</v>
      </c>
      <c r="L51" s="127">
        <f>SUM('June 2019'!L51+'May 2019'!L51+'April 2019'!L51+'March 2019'!L51+'Feb. 2019'!L51+'Jan. 2019'!L51+'Dec. 2018'!L51+'Nov. 2018'!L51+'Oct. 2018'!L51+'Sept. 2018'!L51+'Aug. 2018'!L51+'July 2018'!L51)</f>
        <v>0</v>
      </c>
      <c r="M51" s="127">
        <f t="shared" si="4"/>
        <v>134</v>
      </c>
    </row>
    <row r="52" spans="2:14" x14ac:dyDescent="0.3">
      <c r="C52" s="38" t="s">
        <v>54</v>
      </c>
      <c r="D52" s="127">
        <f>SUM('June 2019'!D52+'May 2019'!D52+'April 2019'!D52+'March 2019'!D52+'Feb. 2019'!D52+'Jan. 2019'!D52+'Dec. 2018'!D52+'Nov. 2018'!D52+'Oct. 2018'!D52+'Sept. 2018'!D52+'Aug. 2018'!D52+'July 2018'!D52)</f>
        <v>1</v>
      </c>
      <c r="E52" s="127">
        <f>SUM('July 2018:June 2019'!E52)</f>
        <v>1</v>
      </c>
      <c r="F52" s="127">
        <f>SUM('June 2019'!F52+'May 2019'!F52+'April 2019'!F52+'March 2019'!F52+'Feb. 2019'!F52+'Jan. 2019'!F52+'Dec. 2018'!F52+'Nov. 2018'!F52+'Oct. 2018'!F52+'Sept. 2018'!F52+'Aug. 2018'!F52+'July 2018'!F52)</f>
        <v>1</v>
      </c>
      <c r="G52" s="127">
        <f>SUM('June 2019'!G52+'May 2019'!G52+'April 2019'!G52+'March 2019'!G52+'Feb. 2019'!G52+'Jan. 2019'!G52+'Dec. 2018'!G52+'Nov. 2018'!G52+'Oct. 2018'!G52+'Sept. 2018'!G52+'Aug. 2018'!G52+'July 2018'!G52)</f>
        <v>2</v>
      </c>
      <c r="H52" s="127">
        <f>SUM('June 2019'!H52+'May 2019'!H52+'April 2019'!H52+'March 2019'!H52+'Feb. 2019'!H52+'Jan. 2019'!H52+'Dec. 2018'!H52+'Nov. 2018'!H52+'Oct. 2018'!H52+'Sept. 2018'!H52+'Aug. 2018'!H52+'July 2018'!H52)</f>
        <v>5</v>
      </c>
      <c r="I52" s="127">
        <f>SUM('June 2019'!I52+'May 2019'!I52+'April 2019'!I52+'March 2019'!I52+'Feb. 2019'!I52+'Jan. 2019'!I52+'Dec. 2018'!I52+'Nov. 2018'!I52+'Oct. 2018'!I52+'Sept. 2018'!I52+'Aug. 2018'!I52+'July 2018'!I52)</f>
        <v>2</v>
      </c>
      <c r="J52" s="127">
        <f>SUM('June 2019'!J52+'May 2019'!J52+'April 2019'!J52+'March 2019'!J52+'Feb. 2019'!J52+'Jan. 2019'!J52+'Dec. 2018'!J52+'Nov. 2018'!J52+'Oct. 2018'!J52+'Sept. 2018'!J52+'Aug. 2018'!J52+'July 2018'!J52)</f>
        <v>0</v>
      </c>
      <c r="K52" s="127">
        <f>SUM('June 2019'!K52+'May 2019'!K52+'April 2019'!K52+'March 2019'!K52+'Feb. 2019'!K52+'Jan. 2019'!K52+'Dec. 2018'!K52+'Nov. 2018'!K52+'Oct. 2018'!K52+'Sept. 2018'!K52+'Aug. 2018'!K52+'July 2018'!K52)</f>
        <v>6</v>
      </c>
      <c r="L52" s="127">
        <f>SUM('June 2019'!L52+'May 2019'!L52+'April 2019'!L52+'March 2019'!L52+'Feb. 2019'!L52+'Jan. 2019'!L52+'Dec. 2018'!L52+'Nov. 2018'!L52+'Oct. 2018'!L52+'Sept. 2018'!L52+'Aug. 2018'!L52+'July 2018'!L52)</f>
        <v>0</v>
      </c>
      <c r="M52" s="127">
        <f t="shared" si="4"/>
        <v>18</v>
      </c>
    </row>
    <row r="53" spans="2:14" x14ac:dyDescent="0.3">
      <c r="C53" s="38" t="s">
        <v>167</v>
      </c>
      <c r="D53" s="127">
        <f>SUM('June 2019'!D53+'May 2019'!D53+'April 2019'!D53+'March 2019'!D53+'Feb. 2019'!D53+'Jan. 2019'!D53+'Dec. 2018'!D53+'Nov. 2018'!D53+'Oct. 2018'!D53+'Sept. 2018'!D53+'Aug. 2018'!D53+'July 2018'!D53)</f>
        <v>0</v>
      </c>
      <c r="E53" s="127">
        <f>SUM('July 2018:June 2019'!E53)</f>
        <v>2</v>
      </c>
      <c r="F53" s="127">
        <f>SUM('June 2019'!F53+'May 2019'!F53+'April 2019'!F53+'March 2019'!F53+'Feb. 2019'!F53+'Jan. 2019'!F53+'Dec. 2018'!F53+'Nov. 2018'!F53+'Oct. 2018'!F53+'Sept. 2018'!F53+'Aug. 2018'!F53+'July 2018'!F53)</f>
        <v>4</v>
      </c>
      <c r="G53" s="127">
        <f>SUM('June 2019'!G53+'May 2019'!G53+'April 2019'!G53+'March 2019'!G53+'Feb. 2019'!G53+'Jan. 2019'!G53+'Dec. 2018'!G53+'Nov. 2018'!G53+'Oct. 2018'!G53+'Sept. 2018'!G53+'Aug. 2018'!G53+'July 2018'!G53)</f>
        <v>6</v>
      </c>
      <c r="H53" s="127">
        <f>SUM('June 2019'!H53+'May 2019'!H53+'April 2019'!H53+'March 2019'!H53+'Feb. 2019'!H53+'Jan. 2019'!H53+'Dec. 2018'!H53+'Nov. 2018'!H53+'Oct. 2018'!H53+'Sept. 2018'!H53+'Aug. 2018'!H53+'July 2018'!H53)</f>
        <v>17</v>
      </c>
      <c r="I53" s="127">
        <f>SUM('June 2019'!I53+'May 2019'!I53+'April 2019'!I53+'March 2019'!I53+'Feb. 2019'!I53+'Jan. 2019'!I53+'Dec. 2018'!I53+'Nov. 2018'!I53+'Oct. 2018'!I53+'Sept. 2018'!I53+'Aug. 2018'!I53+'July 2018'!I53)</f>
        <v>0</v>
      </c>
      <c r="J53" s="127">
        <f>SUM('June 2019'!J53+'May 2019'!J53+'April 2019'!J53+'March 2019'!J53+'Feb. 2019'!J53+'Jan. 2019'!J53+'Dec. 2018'!J53+'Nov. 2018'!J53+'Oct. 2018'!J53+'Sept. 2018'!J53+'Aug. 2018'!J53+'July 2018'!J53)</f>
        <v>0</v>
      </c>
      <c r="K53" s="127">
        <f>SUM('June 2019'!K53+'May 2019'!K53+'April 2019'!K53+'March 2019'!K53+'Feb. 2019'!K53+'Jan. 2019'!K53+'Dec. 2018'!K53+'Nov. 2018'!K53+'Oct. 2018'!K53+'Sept. 2018'!K53+'Aug. 2018'!K53+'July 2018'!K53)</f>
        <v>17</v>
      </c>
      <c r="L53" s="127">
        <f>SUM('June 2019'!L53+'May 2019'!L53+'April 2019'!L53+'March 2019'!L53+'Feb. 2019'!L53+'Jan. 2019'!L53+'Dec. 2018'!L53+'Nov. 2018'!L53+'Oct. 2018'!L53+'Sept. 2018'!L53+'Aug. 2018'!L53+'July 2018'!L53)</f>
        <v>7</v>
      </c>
      <c r="M53" s="127">
        <f t="shared" si="4"/>
        <v>53</v>
      </c>
    </row>
    <row r="54" spans="2:14" x14ac:dyDescent="0.3">
      <c r="C54" s="38" t="s">
        <v>55</v>
      </c>
      <c r="D54" s="127">
        <f>SUM('June 2019'!D54+'May 2019'!D54+'April 2019'!D54+'March 2019'!D54+'Feb. 2019'!D54+'Jan. 2019'!D54+'Dec. 2018'!D54+'Nov. 2018'!D54+'Oct. 2018'!D54+'Sept. 2018'!D54+'Aug. 2018'!D54+'July 2018'!D54)</f>
        <v>22</v>
      </c>
      <c r="E54" s="127">
        <f>SUM('July 2018:June 2019'!E54)</f>
        <v>11</v>
      </c>
      <c r="F54" s="127">
        <f>SUM('June 2019'!F54+'May 2019'!F54+'April 2019'!F54+'March 2019'!F54+'Feb. 2019'!F54+'Jan. 2019'!F54+'Dec. 2018'!F54+'Nov. 2018'!F54+'Oct. 2018'!F54+'Sept. 2018'!F54+'Aug. 2018'!F54+'July 2018'!F54)</f>
        <v>76</v>
      </c>
      <c r="G54" s="127">
        <f>SUM('June 2019'!G54+'May 2019'!G54+'April 2019'!G54+'March 2019'!G54+'Feb. 2019'!G54+'Jan. 2019'!G54+'Dec. 2018'!G54+'Nov. 2018'!G54+'Oct. 2018'!G54+'Sept. 2018'!G54+'Aug. 2018'!G54+'July 2018'!G54)</f>
        <v>56</v>
      </c>
      <c r="H54" s="127">
        <f>SUM('June 2019'!H54+'May 2019'!H54+'April 2019'!H54+'March 2019'!H54+'Feb. 2019'!H54+'Jan. 2019'!H54+'Dec. 2018'!H54+'Nov. 2018'!H54+'Oct. 2018'!H54+'Sept. 2018'!H54+'Aug. 2018'!H54+'July 2018'!H54)</f>
        <v>59</v>
      </c>
      <c r="I54" s="127">
        <f>SUM('June 2019'!I54+'May 2019'!I54+'April 2019'!I54+'March 2019'!I54+'Feb. 2019'!I54+'Jan. 2019'!I54+'Dec. 2018'!I54+'Nov. 2018'!I54+'Oct. 2018'!I54+'Sept. 2018'!I54+'Aug. 2018'!I54+'July 2018'!I54)</f>
        <v>13</v>
      </c>
      <c r="J54" s="127">
        <f>SUM('June 2019'!J54+'May 2019'!J54+'April 2019'!J54+'March 2019'!J54+'Feb. 2019'!J54+'Jan. 2019'!J54+'Dec. 2018'!J54+'Nov. 2018'!J54+'Oct. 2018'!J54+'Sept. 2018'!J54+'Aug. 2018'!J54+'July 2018'!J54)</f>
        <v>8</v>
      </c>
      <c r="K54" s="127">
        <f>SUM('June 2019'!K54+'May 2019'!K54+'April 2019'!K54+'March 2019'!K54+'Feb. 2019'!K54+'Jan. 2019'!K54+'Dec. 2018'!K54+'Nov. 2018'!K54+'Oct. 2018'!K54+'Sept. 2018'!K54+'Aug. 2018'!K54+'July 2018'!K54)</f>
        <v>152</v>
      </c>
      <c r="L54" s="127">
        <f>SUM('June 2019'!L54+'May 2019'!L54+'April 2019'!L54+'March 2019'!L54+'Feb. 2019'!L54+'Jan. 2019'!L54+'Dec. 2018'!L54+'Nov. 2018'!L54+'Oct. 2018'!L54+'Sept. 2018'!L54+'Aug. 2018'!L54+'July 2018'!L54)</f>
        <v>56</v>
      </c>
      <c r="M54" s="127">
        <f t="shared" si="4"/>
        <v>453</v>
      </c>
    </row>
    <row r="55" spans="2:14" x14ac:dyDescent="0.3">
      <c r="C55" s="38" t="s">
        <v>56</v>
      </c>
      <c r="D55" s="127">
        <f>SUM('June 2019'!D55+'May 2019'!D55+'April 2019'!D55+'March 2019'!D55+'Feb. 2019'!D55+'Jan. 2019'!D55+'Dec. 2018'!D55+'Nov. 2018'!D55+'Oct. 2018'!D55+'Sept. 2018'!D55+'Aug. 2018'!D55+'July 2018'!D55)</f>
        <v>9</v>
      </c>
      <c r="E55" s="127">
        <f>SUM('July 2018:June 2019'!E55)</f>
        <v>8</v>
      </c>
      <c r="F55" s="127">
        <f>SUM('June 2019'!F55+'May 2019'!F55+'April 2019'!F55+'March 2019'!F55+'Feb. 2019'!F55+'Jan. 2019'!F55+'Dec. 2018'!F55+'Nov. 2018'!F55+'Oct. 2018'!F55+'Sept. 2018'!F55+'Aug. 2018'!F55+'July 2018'!F55)</f>
        <v>25</v>
      </c>
      <c r="G55" s="127">
        <f>SUM('June 2019'!G55+'May 2019'!G55+'April 2019'!G55+'March 2019'!G55+'Feb. 2019'!G55+'Jan. 2019'!G55+'Dec. 2018'!G55+'Nov. 2018'!G55+'Oct. 2018'!G55+'Sept. 2018'!G55+'Aug. 2018'!G55+'July 2018'!G55)</f>
        <v>31</v>
      </c>
      <c r="H55" s="127">
        <f>SUM('June 2019'!H55+'May 2019'!H55+'April 2019'!H55+'March 2019'!H55+'Feb. 2019'!H55+'Jan. 2019'!H55+'Dec. 2018'!H55+'Nov. 2018'!H55+'Oct. 2018'!H55+'Sept. 2018'!H55+'Aug. 2018'!H55+'July 2018'!H55)</f>
        <v>15</v>
      </c>
      <c r="I55" s="127">
        <f>SUM('June 2019'!I55+'May 2019'!I55+'April 2019'!I55+'March 2019'!I55+'Feb. 2019'!I55+'Jan. 2019'!I55+'Dec. 2018'!I55+'Nov. 2018'!I55+'Oct. 2018'!I55+'Sept. 2018'!I55+'Aug. 2018'!I55+'July 2018'!I55)</f>
        <v>5</v>
      </c>
      <c r="J55" s="127">
        <f>SUM('June 2019'!J55+'May 2019'!J55+'April 2019'!J55+'March 2019'!J55+'Feb. 2019'!J55+'Jan. 2019'!J55+'Dec. 2018'!J55+'Nov. 2018'!J55+'Oct. 2018'!J55+'Sept. 2018'!J55+'Aug. 2018'!J55+'July 2018'!J55)</f>
        <v>1</v>
      </c>
      <c r="K55" s="127">
        <f>SUM('June 2019'!K55+'May 2019'!K55+'April 2019'!K55+'March 2019'!K55+'Feb. 2019'!K55+'Jan. 2019'!K55+'Dec. 2018'!K55+'Nov. 2018'!K55+'Oct. 2018'!K55+'Sept. 2018'!K55+'Aug. 2018'!K55+'July 2018'!K55)</f>
        <v>46</v>
      </c>
      <c r="L55" s="127">
        <f>SUM('June 2019'!L55+'May 2019'!L55+'April 2019'!L55+'March 2019'!L55+'Feb. 2019'!L55+'Jan. 2019'!L55+'Dec. 2018'!L55+'Nov. 2018'!L55+'Oct. 2018'!L55+'Sept. 2018'!L55+'Aug. 2018'!L55+'July 2018'!L55)</f>
        <v>26</v>
      </c>
      <c r="M55" s="127">
        <f t="shared" si="4"/>
        <v>166</v>
      </c>
    </row>
    <row r="56" spans="2:14" x14ac:dyDescent="0.3">
      <c r="C56" s="38" t="s">
        <v>57</v>
      </c>
      <c r="D56" s="127">
        <f>SUM('June 2019'!D56+'May 2019'!D56+'April 2019'!D56+'March 2019'!D56+'Feb. 2019'!D56+'Jan. 2019'!D56+'Dec. 2018'!D56+'Nov. 2018'!D56+'Oct. 2018'!D56+'Sept. 2018'!D56+'Aug. 2018'!D56+'July 2018'!D56)</f>
        <v>0</v>
      </c>
      <c r="E56" s="127">
        <f>SUM('July 2018:June 2019'!E56)</f>
        <v>0</v>
      </c>
      <c r="F56" s="127">
        <f>SUM('June 2019'!F56+'May 2019'!F56+'April 2019'!F56+'March 2019'!F56+'Feb. 2019'!F56+'Jan. 2019'!F56+'Dec. 2018'!F56+'Nov. 2018'!F56+'Oct. 2018'!F56+'Sept. 2018'!F56+'Aug. 2018'!F56+'July 2018'!F56)</f>
        <v>0</v>
      </c>
      <c r="G56" s="127">
        <f>SUM('June 2019'!G56+'May 2019'!G56+'April 2019'!G56+'March 2019'!G56+'Feb. 2019'!G56+'Jan. 2019'!G56+'Dec. 2018'!G56+'Nov. 2018'!G56+'Oct. 2018'!G56+'Sept. 2018'!G56+'Aug. 2018'!G56+'July 2018'!G56)</f>
        <v>0</v>
      </c>
      <c r="H56" s="127">
        <f>SUM('June 2019'!H56+'May 2019'!H56+'April 2019'!H56+'March 2019'!H56+'Feb. 2019'!H56+'Jan. 2019'!H56+'Dec. 2018'!H56+'Nov. 2018'!H56+'Oct. 2018'!H56+'Sept. 2018'!H56+'Aug. 2018'!H56+'July 2018'!H56)</f>
        <v>0</v>
      </c>
      <c r="I56" s="127">
        <f>SUM('June 2019'!I56+'May 2019'!I56+'April 2019'!I56+'March 2019'!I56+'Feb. 2019'!I56+'Jan. 2019'!I56+'Dec. 2018'!I56+'Nov. 2018'!I56+'Oct. 2018'!I56+'Sept. 2018'!I56+'Aug. 2018'!I56+'July 2018'!I56)</f>
        <v>0</v>
      </c>
      <c r="J56" s="127">
        <f>SUM('June 2019'!J56+'May 2019'!J56+'April 2019'!J56+'March 2019'!J56+'Feb. 2019'!J56+'Jan. 2019'!J56+'Dec. 2018'!J56+'Nov. 2018'!J56+'Oct. 2018'!J56+'Sept. 2018'!J56+'Aug. 2018'!J56+'July 2018'!J56)</f>
        <v>3</v>
      </c>
      <c r="K56" s="127">
        <f>SUM('June 2019'!K56+'May 2019'!K56+'April 2019'!K56+'March 2019'!K56+'Feb. 2019'!K56+'Jan. 2019'!K56+'Dec. 2018'!K56+'Nov. 2018'!K56+'Oct. 2018'!K56+'Sept. 2018'!K56+'Aug. 2018'!K56+'July 2018'!K56)</f>
        <v>0</v>
      </c>
      <c r="L56" s="127">
        <f>SUM('June 2019'!L56+'May 2019'!L56+'April 2019'!L56+'March 2019'!L56+'Feb. 2019'!L56+'Jan. 2019'!L56+'Dec. 2018'!L56+'Nov. 2018'!L56+'Oct. 2018'!L56+'Sept. 2018'!L56+'Aug. 2018'!L56+'July 2018'!L56)</f>
        <v>0</v>
      </c>
      <c r="M56" s="127">
        <f t="shared" si="4"/>
        <v>3</v>
      </c>
    </row>
    <row r="57" spans="2:14" x14ac:dyDescent="0.3">
      <c r="C57" s="34" t="s">
        <v>58</v>
      </c>
      <c r="D57" s="127">
        <f>SUM('June 2019'!D57+'May 2019'!D57+'April 2019'!D57+'March 2019'!D57+'Feb. 2019'!D57+'Jan. 2019'!D57+'Dec. 2018'!D57+'Nov. 2018'!D57+'Oct. 2018'!D57+'Sept. 2018'!D57+'Aug. 2018'!D57+'July 2018'!D57)</f>
        <v>0</v>
      </c>
      <c r="E57" s="127">
        <f>SUM('July 2018:June 2019'!E57)</f>
        <v>19</v>
      </c>
      <c r="F57" s="127">
        <f>SUM('June 2019'!F57+'May 2019'!F57+'April 2019'!F57+'March 2019'!F57+'Feb. 2019'!F57+'Jan. 2019'!F57+'Dec. 2018'!F57+'Nov. 2018'!F57+'Oct. 2018'!F57+'Sept. 2018'!F57+'Aug. 2018'!F57+'July 2018'!F57)</f>
        <v>1</v>
      </c>
      <c r="G57" s="127">
        <f>SUM('June 2019'!G57+'May 2019'!G57+'April 2019'!G57+'March 2019'!G57+'Feb. 2019'!G57+'Jan. 2019'!G57+'Dec. 2018'!G57+'Nov. 2018'!G57+'Oct. 2018'!G57+'Sept. 2018'!G57+'Aug. 2018'!G57+'July 2018'!G57)</f>
        <v>0</v>
      </c>
      <c r="H57" s="127">
        <f>SUM('June 2019'!H57+'May 2019'!H57+'April 2019'!H57+'March 2019'!H57+'Feb. 2019'!H57+'Jan. 2019'!H57+'Dec. 2018'!H57+'Nov. 2018'!H57+'Oct. 2018'!H57+'Sept. 2018'!H57+'Aug. 2018'!H57+'July 2018'!H57)</f>
        <v>0</v>
      </c>
      <c r="I57" s="127">
        <f>SUM('June 2019'!I57+'May 2019'!I57+'April 2019'!I57+'March 2019'!I57+'Feb. 2019'!I57+'Jan. 2019'!I57+'Dec. 2018'!I57+'Nov. 2018'!I57+'Oct. 2018'!I57+'Sept. 2018'!I57+'Aug. 2018'!I57+'July 2018'!I57)</f>
        <v>0</v>
      </c>
      <c r="J57" s="127">
        <f>SUM('June 2019'!J57+'May 2019'!J57+'April 2019'!J57+'March 2019'!J57+'Feb. 2019'!J57+'Jan. 2019'!J57+'Dec. 2018'!J57+'Nov. 2018'!J57+'Oct. 2018'!J57+'Sept. 2018'!J57+'Aug. 2018'!J57+'July 2018'!J57)</f>
        <v>1</v>
      </c>
      <c r="K57" s="127">
        <f>SUM('June 2019'!K57+'May 2019'!K57+'April 2019'!K57+'March 2019'!K57+'Feb. 2019'!K57+'Jan. 2019'!K57+'Dec. 2018'!K57+'Nov. 2018'!K57+'Oct. 2018'!K57+'Sept. 2018'!K57+'Aug. 2018'!K57+'July 2018'!K57)</f>
        <v>2</v>
      </c>
      <c r="L57" s="127">
        <f>SUM('June 2019'!L57+'May 2019'!L57+'April 2019'!L57+'March 2019'!L57+'Feb. 2019'!L57+'Jan. 2019'!L57+'Dec. 2018'!L57+'Nov. 2018'!L57+'Oct. 2018'!L57+'Sept. 2018'!L57+'Aug. 2018'!L57+'July 2018'!L57)</f>
        <v>0</v>
      </c>
      <c r="M57" s="127">
        <f t="shared" si="4"/>
        <v>23</v>
      </c>
    </row>
    <row r="58" spans="2:14" x14ac:dyDescent="0.3">
      <c r="C58" s="118" t="s">
        <v>59</v>
      </c>
      <c r="D58" s="127">
        <f>SUM('June 2019'!D58+'May 2019'!D58+'April 2019'!D58+'March 2019'!D58+'Feb. 2019'!D58+'Jan. 2019'!D58+'Dec. 2018'!D58+'Nov. 2018'!D58+'Oct. 2018'!D58+'Sept. 2018'!D58+'Aug. 2018'!D58+'July 2018'!D58)</f>
        <v>4</v>
      </c>
      <c r="E58" s="127">
        <f>SUM('July 2018:June 2019'!E58)</f>
        <v>3</v>
      </c>
      <c r="F58" s="127">
        <f>SUM('June 2019'!F58+'May 2019'!F58+'April 2019'!F58+'March 2019'!F58+'Feb. 2019'!F58+'Jan. 2019'!F58+'Dec. 2018'!F58+'Nov. 2018'!F58+'Oct. 2018'!F58+'Sept. 2018'!F58+'Aug. 2018'!F58+'July 2018'!F58)</f>
        <v>14</v>
      </c>
      <c r="G58" s="127">
        <f>SUM('June 2019'!G58+'May 2019'!G58+'April 2019'!G58+'March 2019'!G58+'Feb. 2019'!G58+'Jan. 2019'!G58+'Dec. 2018'!G58+'Nov. 2018'!G58+'Oct. 2018'!G58+'Sept. 2018'!G58+'Aug. 2018'!G58+'July 2018'!G58)</f>
        <v>16</v>
      </c>
      <c r="H58" s="127">
        <f>SUM('June 2019'!H58+'May 2019'!H58+'April 2019'!H58+'March 2019'!H58+'Feb. 2019'!H58+'Jan. 2019'!H58+'Dec. 2018'!H58+'Nov. 2018'!H58+'Oct. 2018'!H58+'Sept. 2018'!H58+'Aug. 2018'!H58+'July 2018'!H58)</f>
        <v>20</v>
      </c>
      <c r="I58" s="127">
        <f>SUM('June 2019'!I58+'May 2019'!I58+'April 2019'!I58+'March 2019'!I58+'Feb. 2019'!I58+'Jan. 2019'!I58+'Dec. 2018'!I58+'Nov. 2018'!I58+'Oct. 2018'!I58+'Sept. 2018'!I58+'Aug. 2018'!I58+'July 2018'!I58)</f>
        <v>7</v>
      </c>
      <c r="J58" s="127">
        <f>SUM('June 2019'!J58+'May 2019'!J58+'April 2019'!J58+'March 2019'!J58+'Feb. 2019'!J58+'Jan. 2019'!J58+'Dec. 2018'!J58+'Nov. 2018'!J58+'Oct. 2018'!J58+'Sept. 2018'!J58+'Aug. 2018'!J58+'July 2018'!J58)</f>
        <v>6</v>
      </c>
      <c r="K58" s="127">
        <f>SUM('June 2019'!K58+'May 2019'!K58+'April 2019'!K58+'March 2019'!K58+'Feb. 2019'!K58+'Jan. 2019'!K58+'Dec. 2018'!K58+'Nov. 2018'!K58+'Oct. 2018'!K58+'Sept. 2018'!K58+'Aug. 2018'!K58+'July 2018'!K58)</f>
        <v>69</v>
      </c>
      <c r="L58" s="127">
        <f>SUM('June 2019'!L58+'May 2019'!L58+'April 2019'!L58+'March 2019'!L58+'Feb. 2019'!L58+'Jan. 2019'!L58+'Dec. 2018'!L58+'Nov. 2018'!L58+'Oct. 2018'!L58+'Sept. 2018'!L58+'Aug. 2018'!L58+'July 2018'!L58)</f>
        <v>0</v>
      </c>
      <c r="M58" s="127">
        <f t="shared" si="4"/>
        <v>139</v>
      </c>
    </row>
    <row r="59" spans="2:14" x14ac:dyDescent="0.3">
      <c r="C59" s="36" t="s">
        <v>29</v>
      </c>
      <c r="D59" s="143">
        <f t="shared" ref="D59:L59" si="5">SUM(D31:D58)</f>
        <v>228</v>
      </c>
      <c r="E59" s="143">
        <f>SUM(E31:E58)</f>
        <v>184</v>
      </c>
      <c r="F59" s="143">
        <f t="shared" si="5"/>
        <v>500</v>
      </c>
      <c r="G59" s="143">
        <f t="shared" si="5"/>
        <v>620</v>
      </c>
      <c r="H59" s="143">
        <f t="shared" si="5"/>
        <v>460</v>
      </c>
      <c r="I59" s="143">
        <f t="shared" si="5"/>
        <v>196</v>
      </c>
      <c r="J59" s="143">
        <f t="shared" si="5"/>
        <v>116</v>
      </c>
      <c r="K59" s="143">
        <f t="shared" si="5"/>
        <v>1267</v>
      </c>
      <c r="L59" s="143">
        <f t="shared" si="5"/>
        <v>374</v>
      </c>
      <c r="M59" s="325">
        <f t="shared" si="4"/>
        <v>3945</v>
      </c>
    </row>
    <row r="60" spans="2:14" x14ac:dyDescent="0.3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3">
      <c r="B61" s="121" t="s">
        <v>170</v>
      </c>
      <c r="C61" s="122"/>
      <c r="D61" s="148"/>
      <c r="E61" t="s">
        <v>379</v>
      </c>
    </row>
    <row r="62" spans="2:14" x14ac:dyDescent="0.3">
      <c r="D62" s="12" t="s">
        <v>15</v>
      </c>
    </row>
    <row r="63" spans="2:14" x14ac:dyDescent="0.3">
      <c r="B63" s="361" t="s">
        <v>141</v>
      </c>
      <c r="C63" s="362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3">
      <c r="B64" s="365" t="s">
        <v>140</v>
      </c>
      <c r="C64" s="366"/>
      <c r="D64" s="124">
        <f>'June 2019'!D64</f>
        <v>3398</v>
      </c>
      <c r="E64" s="124">
        <f>'June 2019'!E64</f>
        <v>79</v>
      </c>
      <c r="F64" s="124">
        <f>'June 2019'!F64</f>
        <v>12264</v>
      </c>
      <c r="G64" s="124">
        <f>'June 2019'!G64</f>
        <v>12012</v>
      </c>
      <c r="H64" s="124">
        <f>'June 2019'!H64</f>
        <v>9067</v>
      </c>
      <c r="I64" s="124">
        <f>'June 2019'!I64</f>
        <v>103</v>
      </c>
      <c r="J64" s="124">
        <f>'June 2019'!J64</f>
        <v>57</v>
      </c>
      <c r="K64" s="124">
        <f>'June 2019'!K64</f>
        <v>11407</v>
      </c>
      <c r="L64" s="124">
        <f>'June 2019'!L64</f>
        <v>1830</v>
      </c>
      <c r="M64" s="127">
        <f>SUM(D64:L64)</f>
        <v>50217</v>
      </c>
      <c r="N64" s="24"/>
    </row>
    <row r="65" spans="2:14" x14ac:dyDescent="0.3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6" x14ac:dyDescent="0.3">
      <c r="B66" s="361" t="s">
        <v>143</v>
      </c>
      <c r="C66" s="362"/>
      <c r="D66" t="s">
        <v>379</v>
      </c>
      <c r="E66" s="102"/>
    </row>
    <row r="67" spans="2:14" x14ac:dyDescent="0.3">
      <c r="B67" s="365" t="s">
        <v>142</v>
      </c>
      <c r="C67" s="366"/>
      <c r="D67" s="405" t="s">
        <v>60</v>
      </c>
      <c r="E67" s="405"/>
      <c r="F67" s="198" t="s">
        <v>26</v>
      </c>
      <c r="G67" s="26"/>
      <c r="H67" s="405" t="s">
        <v>61</v>
      </c>
      <c r="I67" s="405"/>
      <c r="J67" s="405"/>
      <c r="K67" s="405" t="s">
        <v>62</v>
      </c>
      <c r="L67" s="405"/>
      <c r="M67" s="405"/>
      <c r="N67" s="35" t="s">
        <v>12</v>
      </c>
    </row>
    <row r="68" spans="2:14" x14ac:dyDescent="0.3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144</v>
      </c>
      <c r="N68" s="16"/>
    </row>
    <row r="69" spans="2:14" x14ac:dyDescent="0.3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3">
      <c r="B70" s="28" t="s">
        <v>75</v>
      </c>
      <c r="C70" s="136">
        <f>'June 2019'!C70</f>
        <v>43827</v>
      </c>
      <c r="D70" s="136">
        <f>'June 2019'!D70</f>
        <v>127</v>
      </c>
      <c r="E70" s="136">
        <f>'June 2019'!E70</f>
        <v>969</v>
      </c>
      <c r="F70" s="136">
        <f>'June 2019'!F70</f>
        <v>221</v>
      </c>
      <c r="G70" s="136">
        <f>'June 2019'!G70</f>
        <v>362</v>
      </c>
      <c r="H70" s="136">
        <f>'June 2019'!H70</f>
        <v>52</v>
      </c>
      <c r="I70" s="136">
        <f>'June 2019'!I70</f>
        <v>4993</v>
      </c>
      <c r="J70" s="136">
        <f>'June 2019'!J70</f>
        <v>13</v>
      </c>
      <c r="K70" s="136">
        <f>'June 2019'!K70</f>
        <v>17</v>
      </c>
      <c r="L70" s="136">
        <f>'June 2019'!L70</f>
        <v>243</v>
      </c>
      <c r="M70" s="136">
        <f>'June 2019'!M70</f>
        <v>5493</v>
      </c>
      <c r="N70" s="130">
        <f>SUM(C70:M70)</f>
        <v>56317</v>
      </c>
    </row>
    <row r="71" spans="2:14" x14ac:dyDescent="0.3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3">
      <c r="B72" s="10"/>
      <c r="C72" s="10"/>
      <c r="D72" s="10"/>
      <c r="E72" s="10"/>
      <c r="F72" s="10"/>
      <c r="G72" s="10"/>
      <c r="H72" s="12"/>
      <c r="I72" s="10"/>
      <c r="K72" s="104" t="s">
        <v>145</v>
      </c>
      <c r="L72" s="10" t="s">
        <v>146</v>
      </c>
      <c r="M72" s="10"/>
      <c r="N72">
        <f>'June 2019'!N72</f>
        <v>5314</v>
      </c>
    </row>
    <row r="73" spans="2:14" x14ac:dyDescent="0.3">
      <c r="B73" s="10"/>
      <c r="C73" s="6" t="s">
        <v>264</v>
      </c>
      <c r="D73" s="7"/>
      <c r="E73" s="127">
        <f>SUM('June 2019'!E73+'May 2019'!E73+'April 2019'!E73+'March 2019'!E73+'Feb. 2019'!E73+'Jan. 2019'!E73+'Dec. 2018'!E73+'Nov. 2018'!E73+'Oct. 2018'!E73+'Sept. 2018'!E73+'Aug. 2018'!E73+'July 2018'!E73)</f>
        <v>2792</v>
      </c>
      <c r="F73" s="10"/>
      <c r="G73" s="10"/>
      <c r="H73" s="12"/>
      <c r="I73" s="10"/>
      <c r="K73" s="10"/>
      <c r="L73" s="10" t="s">
        <v>147</v>
      </c>
      <c r="M73" s="10"/>
      <c r="N73">
        <f>'June 2019'!N73</f>
        <v>179</v>
      </c>
    </row>
    <row r="74" spans="2:14" x14ac:dyDescent="0.3">
      <c r="C74" s="42" t="s">
        <v>79</v>
      </c>
      <c r="D74" s="43"/>
      <c r="E74" s="127">
        <f>SUM('June 2019'!E74+'May 2019'!E74+'April 2019'!E74+'March 2019'!E74+'Feb. 2019'!E74+'Jan. 2019'!E74+'Dec. 2018'!E74+'Nov. 2018'!E74+'Oct. 2018'!E74+'Sept. 2018'!E74+'Aug. 2018'!E74+'July 2018'!E74)</f>
        <v>3938</v>
      </c>
      <c r="I74" s="10"/>
      <c r="K74" s="10"/>
      <c r="L74" s="10" t="s">
        <v>460</v>
      </c>
      <c r="M74" s="10"/>
      <c r="N74">
        <v>64</v>
      </c>
    </row>
    <row r="75" spans="2:14" x14ac:dyDescent="0.3">
      <c r="C75" s="44" t="s">
        <v>82</v>
      </c>
      <c r="D75" s="47"/>
      <c r="E75" s="127">
        <f>SUM('June 2019'!E75+'May 2019'!E75+'April 2019'!E75+'March 2019'!E75+'Feb. 2019'!E75+'Jan. 2019'!E75+'Dec. 2018'!E75+'Nov. 2018'!E75+'Oct. 2018'!E75+'Sept. 2018'!E75+'Aug. 2018'!E75+'July 2018'!E75)</f>
        <v>1598</v>
      </c>
      <c r="I75" s="10"/>
    </row>
    <row r="76" spans="2:14" x14ac:dyDescent="0.3">
      <c r="C76" s="57"/>
      <c r="D76" s="57"/>
      <c r="E76" s="10"/>
      <c r="I76" s="10"/>
    </row>
    <row r="77" spans="2:14" x14ac:dyDescent="0.3">
      <c r="C77" s="6" t="s">
        <v>117</v>
      </c>
      <c r="D77" s="49"/>
      <c r="E77" s="10"/>
      <c r="I77" s="10"/>
    </row>
    <row r="78" spans="2:14" x14ac:dyDescent="0.3">
      <c r="C78" s="51" t="s">
        <v>118</v>
      </c>
      <c r="D78" s="127">
        <f>SUM('June 2019'!D78+'May 2019'!D78+'April 2019'!D78+'March 2019'!D78+'Feb. 2019'!D78+'Jan. 2019'!D78+'Dec. 2018'!D78+'Nov. 2018'!D78+'Oct. 2018'!D78+'Sept. 2018'!D78+'Aug. 2018'!D78+'July 2018'!D78)</f>
        <v>8580</v>
      </c>
      <c r="E78" s="10"/>
      <c r="I78" s="10"/>
    </row>
    <row r="79" spans="2:14" x14ac:dyDescent="0.3">
      <c r="C79" s="53" t="s">
        <v>108</v>
      </c>
      <c r="D79" s="127">
        <f>SUM('June 2019'!D79+'May 2019'!D79+'April 2019'!D79+'March 2019'!D79+'Feb. 2019'!D79+'Jan. 2019'!D79+'Dec. 2018'!D79+'Nov. 2018'!D79+'Oct. 2018'!D79+'Sept. 2018'!D79+'Aug. 2018'!D79+'July 2018'!D79)</f>
        <v>9449</v>
      </c>
      <c r="I79" s="10"/>
    </row>
    <row r="80" spans="2:14" x14ac:dyDescent="0.3">
      <c r="C80" s="57"/>
      <c r="D80" s="57"/>
      <c r="I80" s="10"/>
    </row>
    <row r="81" spans="2:14" x14ac:dyDescent="0.3">
      <c r="B81" s="147"/>
      <c r="C81" s="123" t="s">
        <v>77</v>
      </c>
      <c r="D81" s="105"/>
      <c r="E81" s="127">
        <f>SUM('June 2019'!E81+'May 2019'!E81+'April 2019'!E81+'March 2019'!E81+'Feb. 2019'!E81+'Jan. 2019'!E81+'Dec. 2018'!E81+'Nov. 2018'!E81+'Oct. 2018'!E81+'Sept. 2018'!E81+'Aug. 2018'!E81+'July 2018'!E81)</f>
        <v>121</v>
      </c>
      <c r="I81" s="10"/>
      <c r="J81" s="58"/>
      <c r="K81" s="29"/>
      <c r="L81" s="29"/>
      <c r="M81" s="10"/>
    </row>
    <row r="82" spans="2:14" x14ac:dyDescent="0.3">
      <c r="C82" s="44" t="s">
        <v>80</v>
      </c>
      <c r="D82" s="45"/>
      <c r="E82" s="127">
        <f>SUM('June 2019'!E82+'May 2019'!E82+'April 2019'!E82+'March 2019'!E82+'Feb. 2019'!E82+'Jan. 2019'!E82+'Dec. 2018'!E82+'Nov. 2018'!E82+'Oct. 2018'!E82+'Sept. 2018'!E82+'Aug. 2018'!E82+'July 2018'!E82)</f>
        <v>123</v>
      </c>
      <c r="I82" s="10"/>
      <c r="J82" s="58"/>
      <c r="K82" s="29"/>
      <c r="L82" s="29"/>
      <c r="M82" s="10"/>
    </row>
    <row r="83" spans="2:14" x14ac:dyDescent="0.3">
      <c r="J83" s="58"/>
      <c r="K83" s="29"/>
      <c r="L83" s="29"/>
      <c r="M83" s="10"/>
    </row>
    <row r="84" spans="2:14" x14ac:dyDescent="0.3">
      <c r="B84" s="58"/>
      <c r="C84" s="6" t="s">
        <v>78</v>
      </c>
      <c r="D84" s="32"/>
      <c r="E84" s="32"/>
      <c r="F84" s="127">
        <f>SUM('June 2019'!F84+'May 2019'!F84+'April 2019'!F84+'March 2019'!F84+'Feb. 2019'!F84+'Jan. 2019'!F84+'Dec. 2018'!F84+'Nov. 2018'!F84+'Oct. 2018'!F84+'Sept. 2018'!F84+'Aug. 2018'!F84+'July 2018'!F84)</f>
        <v>77</v>
      </c>
      <c r="J84" s="58"/>
      <c r="K84" s="29"/>
      <c r="L84" s="29"/>
      <c r="M84" s="10"/>
    </row>
    <row r="85" spans="2:14" x14ac:dyDescent="0.3">
      <c r="C85" s="44" t="s">
        <v>81</v>
      </c>
      <c r="D85" s="47"/>
      <c r="E85" s="47"/>
      <c r="F85" s="127">
        <f>SUM('June 2019'!F85+'May 2019'!F85+'April 2019'!F85+'March 2019'!F85+'Feb. 2019'!F85+'Jan. 2019'!F85+'Dec. 2018'!F85+'Nov. 2018'!F85+'Oct. 2018'!F85+'Sept. 2018'!F85+'Aug. 2018'!F85+'July 2018'!F85)</f>
        <v>20</v>
      </c>
      <c r="I85" s="10"/>
      <c r="J85" s="58"/>
      <c r="K85" s="29"/>
      <c r="L85" s="29"/>
      <c r="M85" s="10"/>
    </row>
    <row r="86" spans="2:14" x14ac:dyDescent="0.3">
      <c r="B86" s="58"/>
      <c r="C86" s="58"/>
      <c r="D86" s="12"/>
    </row>
    <row r="87" spans="2:14" x14ac:dyDescent="0.3">
      <c r="B87" s="361" t="s">
        <v>1</v>
      </c>
      <c r="C87" s="362"/>
      <c r="D87" s="103"/>
    </row>
    <row r="88" spans="2:14" x14ac:dyDescent="0.3">
      <c r="B88" s="365" t="s">
        <v>140</v>
      </c>
      <c r="C88" s="366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3">
      <c r="B89" s="9"/>
      <c r="C89" s="10" t="s">
        <v>179</v>
      </c>
      <c r="D89" s="127">
        <f>SUM('June 2019'!D89+'May 2019'!D89+'April 2019'!D89+'March 2019'!D89+'Feb. 2019'!D89+'Jan. 2019'!D89+'Dec. 2018'!D89+'Nov. 2018'!D89+'Oct. 2018'!D89+'Sept. 2018'!D89+'Aug. 2018'!D89+'July 2018'!D89)</f>
        <v>961</v>
      </c>
      <c r="E89" s="127">
        <f>SUM('June 2019'!E89+'May 2019'!E89+'April 2019'!E89+'March 2019'!E89+'Feb. 2019'!E89+'Jan. 2019'!E89+'Dec. 2018'!E89+'Nov. 2018'!E89+'Oct. 2018'!E89+'Sept. 2018'!E89+'Aug. 2018'!E89+'July 2018'!E89)</f>
        <v>106</v>
      </c>
      <c r="F89" s="127">
        <f>SUM('June 2019'!F89+'May 2019'!F89+'April 2019'!F89+'March 2019'!F89+'Feb. 2019'!F89+'Jan. 2019'!F89+'Dec. 2018'!F89+'Nov. 2018'!F89+'Oct. 2018'!F89+'Sept. 2018'!F89+'Aug. 2018'!F89+'July 2018'!F89)</f>
        <v>2667</v>
      </c>
      <c r="G89" s="127">
        <f>SUM('June 2019'!G89+'May 2019'!G89+'April 2019'!G89+'March 2019'!G89+'Feb. 2019'!G89+'Jan. 2019'!G89+'Dec. 2018'!G89+'Nov. 2018'!G89+'Oct. 2018'!G89+'Sept. 2018'!G89+'Aug. 2018'!G89+'July 2018'!G89)</f>
        <v>6150</v>
      </c>
      <c r="H89" s="127">
        <f>SUM('June 2019'!H89+'May 2019'!H89+'April 2019'!H89+'March 2019'!H89+'Feb. 2019'!H89+'Jan. 2019'!H89+'Dec. 2018'!H89+'Nov. 2018'!H89+'Oct. 2018'!H89+'Sept. 2018'!H89+'Aug. 2018'!H89+'July 2018'!H89)</f>
        <v>1363</v>
      </c>
      <c r="I89" s="127">
        <f>SUM('June 2019'!I89+'May 2019'!I89+'April 2019'!I89+'March 2019'!I89+'Feb. 2019'!I89+'Jan. 2019'!I89+'Dec. 2018'!I89+'Nov. 2018'!I89+'Oct. 2018'!I89+'Sept. 2018'!I89+'Aug. 2018'!I89+'July 2018'!I89)</f>
        <v>0</v>
      </c>
      <c r="J89" s="127">
        <f>SUM('June 2019'!J89+'May 2019'!J89+'April 2019'!J89+'March 2019'!J89+'Feb. 2019'!J89+'Jan. 2019'!J89+'Dec. 2018'!J89+'Nov. 2018'!J89+'Oct. 2018'!J89+'Sept. 2018'!J89+'Aug. 2018'!J89+'July 2018'!J89)</f>
        <v>3</v>
      </c>
      <c r="K89" s="127">
        <f>SUM('June 2019'!K89+'May 2019'!K89+'April 2019'!K89+'March 2019'!K89+'Feb. 2019'!K89+'Jan. 2019'!K89+'Dec. 2018'!K89+'Nov. 2018'!K89+'Oct. 2018'!K89+'Sept. 2018'!K89+'Aug. 2018'!K89+'July 2018'!K89)</f>
        <v>3151</v>
      </c>
      <c r="L89" s="127">
        <f>SUM('June 2019'!L89+'May 2019'!L89+'April 2019'!L89+'March 2019'!L89+'Feb. 2019'!L89+'Jan. 2019'!L89+'Dec. 2018'!L89+'Nov. 2018'!L89+'Oct. 2018'!L89+'Sept. 2018'!L89+'Aug. 2018'!L89+'July 2018'!L89)</f>
        <v>209</v>
      </c>
      <c r="M89" s="127" t="s">
        <v>182</v>
      </c>
      <c r="N89" s="127">
        <f>SUM(D89:M89)</f>
        <v>14610</v>
      </c>
    </row>
    <row r="90" spans="2:14" x14ac:dyDescent="0.3">
      <c r="B90" s="9"/>
      <c r="C90" s="12" t="s">
        <v>13</v>
      </c>
      <c r="D90" s="127">
        <f>SUM('June 2019'!D90+'May 2019'!D90+'April 2019'!D90+'March 2019'!D90+'Feb. 2019'!D90+'Jan. 2019'!D90+'Dec. 2018'!D90+'Nov. 2018'!D90+'Oct. 2018'!D90+'Sept. 2018'!D90+'Aug. 2018'!D90+'July 2018'!D90)</f>
        <v>153</v>
      </c>
      <c r="E90" s="127">
        <f>SUM('June 2019'!E90+'May 2019'!E90+'April 2019'!E90+'March 2019'!E90+'Feb. 2019'!E90+'Jan. 2019'!E90+'Dec. 2018'!E90+'Nov. 2018'!E90+'Oct. 2018'!E90+'Sept. 2018'!E90+'Aug. 2018'!E90+'July 2018'!E90)</f>
        <v>4</v>
      </c>
      <c r="F90" s="127">
        <f>SUM('June 2019'!F90+'May 2019'!F90+'April 2019'!F90+'March 2019'!F90+'Feb. 2019'!F90+'Jan. 2019'!F90+'Dec. 2018'!F90+'Nov. 2018'!F90+'Oct. 2018'!F90+'Sept. 2018'!F90+'Aug. 2018'!F90+'July 2018'!F90)</f>
        <v>177</v>
      </c>
      <c r="G90" s="127">
        <f>SUM('June 2019'!G90+'May 2019'!G90+'April 2019'!G90+'March 2019'!G90+'Feb. 2019'!G90+'Jan. 2019'!G90+'Dec. 2018'!G90+'Nov. 2018'!G90+'Oct. 2018'!G90+'Sept. 2018'!G90+'Aug. 2018'!G90+'July 2018'!G90)</f>
        <v>842</v>
      </c>
      <c r="H90" s="127">
        <f>SUM('June 2019'!H90+'May 2019'!H90+'April 2019'!H90+'March 2019'!H90+'Feb. 2019'!H90+'Jan. 2019'!H90+'Dec. 2018'!H90+'Nov. 2018'!H90+'Oct. 2018'!H90+'Sept. 2018'!H90+'Aug. 2018'!H90+'July 2018'!H90)</f>
        <v>88</v>
      </c>
      <c r="I90" s="127">
        <f>SUM('June 2019'!I90+'May 2019'!I90+'April 2019'!I90+'March 2019'!I90+'Feb. 2019'!I90+'Jan. 2019'!I90+'Dec. 2018'!I90+'Nov. 2018'!I90+'Oct. 2018'!I90+'Sept. 2018'!I90+'Aug. 2018'!I90+'July 2018'!I90)</f>
        <v>0</v>
      </c>
      <c r="J90" s="127">
        <f>SUM('June 2019'!J90+'May 2019'!J90+'April 2019'!J90+'March 2019'!J90+'Feb. 2019'!J90+'Jan. 2019'!J90+'Dec. 2018'!J90+'Nov. 2018'!J90+'Oct. 2018'!J90+'Sept. 2018'!J90+'Aug. 2018'!J90+'July 2018'!J90)</f>
        <v>0</v>
      </c>
      <c r="K90" s="127">
        <f>SUM('June 2019'!K90+'May 2019'!K90+'April 2019'!K90+'March 2019'!K90+'Feb. 2019'!K90+'Jan. 2019'!K90+'Dec. 2018'!K90+'Nov. 2018'!K90+'Oct. 2018'!K90+'Sept. 2018'!K90+'Aug. 2018'!K90+'July 2018'!K90)</f>
        <v>486</v>
      </c>
      <c r="L90" s="127">
        <f>SUM('June 2019'!L90+'May 2019'!L90+'April 2019'!L90+'March 2019'!L90+'Feb. 2019'!L90+'Jan. 2019'!L90+'Dec. 2018'!L90+'Nov. 2018'!L90+'Oct. 2018'!L90+'Sept. 2018'!L90+'Aug. 2018'!L90+'July 2018'!L90)</f>
        <v>27</v>
      </c>
      <c r="M90" s="127">
        <f>SUM('June 2019'!M90+'May 2019'!M90+'April 2019'!M90+'March 2019'!M90+'Feb. 2019'!M90+'Jan. 2019'!M90+'Dec. 2018'!M90+'Nov. 2018'!M90+'Oct. 2018'!M90+'Sept. 2018'!M90+'Aug. 2018'!M90+'July 2018'!M90)</f>
        <v>185</v>
      </c>
      <c r="N90" s="127">
        <f t="shared" ref="N90:N92" si="6">SUM(D90:M90)</f>
        <v>1962</v>
      </c>
    </row>
    <row r="91" spans="2:14" x14ac:dyDescent="0.3">
      <c r="B91" s="9"/>
      <c r="C91" s="12" t="s">
        <v>14</v>
      </c>
      <c r="D91" s="127">
        <f>SUM('June 2019'!D91+'May 2019'!D91+'April 2019'!D91+'March 2019'!D91+'Feb. 2019'!D91+'Jan. 2019'!D91+'Dec. 2018'!D91+'Nov. 2018'!D91+'Oct. 2018'!D91+'Sept. 2018'!D91+'Aug. 2018'!D91+'July 2018'!D91)</f>
        <v>5</v>
      </c>
      <c r="E91" s="127">
        <f>SUM('June 2019'!E91+'May 2019'!E91+'April 2019'!E91+'March 2019'!E91+'Feb. 2019'!E91+'Jan. 2019'!E91+'Dec. 2018'!E91+'Nov. 2018'!E91+'Oct. 2018'!E91+'Sept. 2018'!E91+'Aug. 2018'!E91+'July 2018'!E91)</f>
        <v>6</v>
      </c>
      <c r="F91" s="127">
        <f>SUM('June 2019'!F91+'May 2019'!F91+'April 2019'!F91+'March 2019'!F91+'Feb. 2019'!F91+'Jan. 2019'!F91+'Dec. 2018'!F91+'Nov. 2018'!F91+'Oct. 2018'!F91+'Sept. 2018'!F91+'Aug. 2018'!F91+'July 2018'!F91)</f>
        <v>361</v>
      </c>
      <c r="G91" s="127">
        <f>SUM('June 2019'!G91+'May 2019'!G91+'April 2019'!G91+'March 2019'!G91+'Feb. 2019'!G91+'Jan. 2019'!G91+'Dec. 2018'!G91+'Nov. 2018'!G91+'Oct. 2018'!G91+'Sept. 2018'!G91+'Aug. 2018'!G91+'July 2018'!G91)</f>
        <v>436</v>
      </c>
      <c r="H91" s="127">
        <f>SUM('June 2019'!H91+'May 2019'!H91+'April 2019'!H91+'March 2019'!H91+'Feb. 2019'!H91+'Jan. 2019'!H91+'Dec. 2018'!H91+'Nov. 2018'!H91+'Oct. 2018'!H91+'Sept. 2018'!H91+'Aug. 2018'!H91+'July 2018'!H91)</f>
        <v>359</v>
      </c>
      <c r="I91" s="127">
        <f>SUM('June 2019'!I91+'May 2019'!I91+'April 2019'!I91+'March 2019'!I91+'Feb. 2019'!I91+'Jan. 2019'!I91+'Dec. 2018'!I91+'Nov. 2018'!I91+'Oct. 2018'!I91+'Sept. 2018'!I91+'Aug. 2018'!I91+'July 2018'!I91)</f>
        <v>0</v>
      </c>
      <c r="J91" s="127">
        <f>SUM('June 2019'!J91+'May 2019'!J91+'April 2019'!J91+'March 2019'!J91+'Feb. 2019'!J91+'Jan. 2019'!J91+'Dec. 2018'!J91+'Nov. 2018'!J91+'Oct. 2018'!J91+'Sept. 2018'!J91+'Aug. 2018'!J91+'July 2018'!J91)</f>
        <v>0</v>
      </c>
      <c r="K91" s="127">
        <f>SUM('June 2019'!K91+'May 2019'!K91+'April 2019'!K91+'March 2019'!K91+'Feb. 2019'!K91+'Jan. 2019'!K91+'Dec. 2018'!K91+'Nov. 2018'!K91+'Oct. 2018'!K91+'Sept. 2018'!K91+'Aug. 2018'!K91+'July 2018'!K91)</f>
        <v>468</v>
      </c>
      <c r="L91" s="127">
        <f>SUM('June 2019'!L91+'May 2019'!L91+'April 2019'!L91+'March 2019'!L91+'Feb. 2019'!L91+'Jan. 2019'!L91+'Dec. 2018'!L91+'Nov. 2018'!L91+'Oct. 2018'!L91+'Sept. 2018'!L91+'Aug. 2018'!L91+'July 2018'!L91)</f>
        <v>156</v>
      </c>
      <c r="M91" s="127" t="s">
        <v>182</v>
      </c>
      <c r="N91" s="127">
        <f t="shared" si="6"/>
        <v>1791</v>
      </c>
    </row>
    <row r="92" spans="2:14" x14ac:dyDescent="0.3">
      <c r="B92" s="13"/>
      <c r="C92" s="14" t="s">
        <v>12</v>
      </c>
      <c r="D92" s="143">
        <f>SUM(D89:D91)</f>
        <v>1119</v>
      </c>
      <c r="E92" s="143">
        <f t="shared" ref="E92:L92" si="7">SUM(E89,E91)</f>
        <v>112</v>
      </c>
      <c r="F92" s="143">
        <f t="shared" si="7"/>
        <v>3028</v>
      </c>
      <c r="G92" s="143">
        <f t="shared" si="7"/>
        <v>6586</v>
      </c>
      <c r="H92" s="143">
        <f t="shared" si="7"/>
        <v>1722</v>
      </c>
      <c r="I92" s="143">
        <f t="shared" si="7"/>
        <v>0</v>
      </c>
      <c r="J92" s="143">
        <f t="shared" si="7"/>
        <v>3</v>
      </c>
      <c r="K92" s="143">
        <f t="shared" si="7"/>
        <v>3619</v>
      </c>
      <c r="L92" s="143">
        <f t="shared" si="7"/>
        <v>365</v>
      </c>
      <c r="M92" s="143">
        <f>SUM(M89:M91)</f>
        <v>185</v>
      </c>
      <c r="N92" s="127">
        <f t="shared" si="6"/>
        <v>16739</v>
      </c>
    </row>
    <row r="93" spans="2:14" x14ac:dyDescent="0.3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3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3">
      <c r="B95" s="374" t="s">
        <v>178</v>
      </c>
      <c r="C95" s="375"/>
      <c r="D95" s="127">
        <f>SUM('June 2019'!D95+'May 2019'!D95+'April 2019'!D95+'March 2019'!D95+'Feb. 2019'!D95+'Jan. 2019'!D95+'Dec. 2018'!D95+'Nov. 2018'!D95+'Oct. 2018'!D95+'Sept. 2018'!D95+'Aug. 2018'!D95+'July 2018'!D95)</f>
        <v>49</v>
      </c>
      <c r="E95" s="127">
        <f>SUM('June 2019'!E95+'May 2019'!E95+'April 2019'!E95+'March 2019'!E95+'Feb. 2019'!E95+'Jan. 2019'!E95+'Dec. 2018'!E95+'Nov. 2018'!E95+'Oct. 2018'!E95+'Sept. 2018'!E95+'Aug. 2018'!E95+'July 2018'!E95)</f>
        <v>20</v>
      </c>
      <c r="F95" s="127">
        <f>SUM('June 2019'!F95+'May 2019'!F95+'April 2019'!F95+'March 2019'!F95+'Feb. 2019'!F95+'Jan. 2019'!F95+'Dec. 2018'!F95+'Nov. 2018'!F95+'Oct. 2018'!F95+'Sept. 2018'!F95+'Aug. 2018'!F95+'July 2018'!F95)</f>
        <v>121</v>
      </c>
      <c r="G95" s="127">
        <f>SUM('June 2019'!G95+'May 2019'!G95+'April 2019'!G95+'March 2019'!G95+'Feb. 2019'!G95+'Jan. 2019'!G95+'Dec. 2018'!G95+'Nov. 2018'!G95+'Oct. 2018'!G95+'Sept. 2018'!G95+'Aug. 2018'!G95+'July 2018'!G95)</f>
        <v>302</v>
      </c>
      <c r="H95" s="127">
        <f>SUM('June 2019'!H95+'May 2019'!H95+'April 2019'!H95+'March 2019'!H95+'Feb. 2019'!H95+'Jan. 2019'!H95+'Dec. 2018'!H95+'Nov. 2018'!H95+'Oct. 2018'!H95+'Sept. 2018'!H95+'Aug. 2018'!H95+'July 2018'!H95)</f>
        <v>67</v>
      </c>
      <c r="I95" s="127">
        <f>SUM('June 2019'!I95+'May 2019'!I95+'April 2019'!I95+'March 2019'!I95+'Feb. 2019'!I95+'Jan. 2019'!I95+'Dec. 2018'!I95+'Nov. 2018'!I95+'Oct. 2018'!I95+'Sept. 2018'!I95+'Aug. 2018'!I95+'July 2018'!I95)</f>
        <v>0</v>
      </c>
      <c r="J95" s="127">
        <f>SUM('June 2019'!J95+'May 2019'!J95+'April 2019'!J95+'March 2019'!J95+'Feb. 2019'!J95+'Jan. 2019'!J95+'Dec. 2018'!J95+'Nov. 2018'!J95+'Oct. 2018'!J95+'Sept. 2018'!J95+'Aug. 2018'!J95+'July 2018'!J95)</f>
        <v>0</v>
      </c>
      <c r="K95" s="127">
        <f>SUM('June 2019'!K95+'May 2019'!K95+'April 2019'!K95+'March 2019'!K95+'Feb. 2019'!K95+'Jan. 2019'!K95+'Dec. 2018'!K95+'Nov. 2018'!K95+'Oct. 2018'!K95+'Sept. 2018'!K95+'Aug. 2018'!K95+'July 2018'!K95)</f>
        <v>243</v>
      </c>
      <c r="L95" s="127">
        <f>SUM('June 2019'!L95+'May 2019'!L95+'April 2019'!L95+'March 2019'!L95+'Feb. 2019'!L95+'Jan. 2019'!L95+'Dec. 2018'!L95+'Nov. 2018'!L95+'Oct. 2018'!L95+'Sept. 2018'!L95+'Aug. 2018'!L95+'July 2018'!L95)</f>
        <v>15</v>
      </c>
      <c r="M95" s="150">
        <f>SUM(D95:L95)</f>
        <v>817</v>
      </c>
      <c r="N95" s="10"/>
    </row>
    <row r="96" spans="2:14" x14ac:dyDescent="0.3">
      <c r="B96" s="365" t="s">
        <v>177</v>
      </c>
      <c r="C96" s="380"/>
      <c r="D96" s="127">
        <f>SUM('June 2019'!D96+'May 2019'!D96+'April 2019'!D96+'March 2019'!D96+'Feb. 2019'!D96+'Jan. 2019'!D96+'Dec. 2018'!D96+'Nov. 2018'!D96+'Oct. 2018'!D96+'Sept. 2018'!D96+'Aug. 2018'!D96+'July 2018'!D96)</f>
        <v>0</v>
      </c>
      <c r="E96" s="127">
        <f>SUM('June 2019'!E96+'May 2019'!E96+'April 2019'!E96+'March 2019'!E96+'Feb. 2019'!E96+'Jan. 2019'!E96+'Dec. 2018'!E96+'Nov. 2018'!E96+'Oct. 2018'!E96+'Sept. 2018'!E96+'Aug. 2018'!E96+'July 2018'!E96)</f>
        <v>0</v>
      </c>
      <c r="F96" s="127">
        <f>SUM('June 2019'!F96+'May 2019'!F96+'April 2019'!F96+'March 2019'!F96+'Feb. 2019'!F96+'Jan. 2019'!F96+'Dec. 2018'!F96+'Nov. 2018'!F96+'Oct. 2018'!F96+'Sept. 2018'!F96+'Aug. 2018'!F96+'July 2018'!F96)</f>
        <v>0</v>
      </c>
      <c r="G96" s="127">
        <f>SUM('June 2019'!G96+'May 2019'!G96+'April 2019'!G96+'March 2019'!G96+'Feb. 2019'!G96+'Jan. 2019'!G96+'Dec. 2018'!G96+'Nov. 2018'!G96+'Oct. 2018'!G96+'Sept. 2018'!G96+'Aug. 2018'!G96+'July 2018'!G96)</f>
        <v>570</v>
      </c>
      <c r="H96" s="127">
        <f>SUM('June 2019'!H96+'May 2019'!H96+'April 2019'!H96+'March 2019'!H96+'Feb. 2019'!H96+'Jan. 2019'!H96+'Dec. 2018'!H96+'Nov. 2018'!H96+'Oct. 2018'!H96+'Sept. 2018'!H96+'Aug. 2018'!H96+'July 2018'!H96)</f>
        <v>14</v>
      </c>
      <c r="I96" s="127">
        <f>SUM('June 2019'!I96+'May 2019'!I96+'April 2019'!I96+'March 2019'!I96+'Feb. 2019'!I96+'Jan. 2019'!I96+'Dec. 2018'!I96+'Nov. 2018'!I96+'Oct. 2018'!I96+'Sept. 2018'!I96+'Aug. 2018'!I96+'July 2018'!I96)</f>
        <v>206</v>
      </c>
      <c r="J96" s="127">
        <f>SUM('June 2019'!J96+'May 2019'!J96+'April 2019'!J96+'March 2019'!J96+'Feb. 2019'!J96+'Jan. 2019'!J96+'Dec. 2018'!J96+'Nov. 2018'!J96+'Oct. 2018'!J96+'Sept. 2018'!J96+'Aug. 2018'!J96+'July 2018'!J96)</f>
        <v>0</v>
      </c>
      <c r="K96" s="127">
        <f>SUM('June 2019'!K96+'May 2019'!K96+'April 2019'!K96+'March 2019'!K96+'Feb. 2019'!K96+'Jan. 2019'!K96+'Dec. 2018'!K96+'Nov. 2018'!K96+'Oct. 2018'!K96+'Sept. 2018'!K96+'Aug. 2018'!K96+'July 2018'!K96)</f>
        <v>2402</v>
      </c>
      <c r="L96" s="127">
        <f>SUM('June 2019'!L96+'May 2019'!L96+'April 2019'!L96+'March 2019'!L96+'Feb. 2019'!L96+'Jan. 2019'!L96+'Dec. 2018'!L96+'Nov. 2018'!L96+'Oct. 2018'!L96+'Sept. 2018'!L96+'Aug. 2018'!L96+'July 2018'!L96)</f>
        <v>1</v>
      </c>
      <c r="M96" s="127">
        <f>SUM('June 2019'!M96+'May 2019'!M96+'April 2019'!M96+'March 2019'!M96+'Feb. 2019'!M96+'Jan. 2019'!M96+'Dec. 2018'!M96+'Nov. 2018'!M96+'Oct. 2018'!M96+'Sept. 2018'!M96+'Aug. 2018'!M96+'July 2018'!M96)</f>
        <v>3193</v>
      </c>
      <c r="N96" s="10"/>
    </row>
    <row r="97" spans="1:15" x14ac:dyDescent="0.3">
      <c r="B97" s="28"/>
      <c r="C97" s="190" t="s">
        <v>29</v>
      </c>
      <c r="D97" s="171">
        <f t="shared" ref="D97:M97" si="8">SUM(D95:D96)</f>
        <v>49</v>
      </c>
      <c r="E97" s="171">
        <f t="shared" si="8"/>
        <v>20</v>
      </c>
      <c r="F97" s="171">
        <f t="shared" si="8"/>
        <v>121</v>
      </c>
      <c r="G97" s="171">
        <f t="shared" si="8"/>
        <v>872</v>
      </c>
      <c r="H97" s="171">
        <f t="shared" si="8"/>
        <v>81</v>
      </c>
      <c r="I97" s="172">
        <f t="shared" si="8"/>
        <v>206</v>
      </c>
      <c r="J97" s="171">
        <f t="shared" si="8"/>
        <v>0</v>
      </c>
      <c r="K97" s="171">
        <f t="shared" si="8"/>
        <v>2645</v>
      </c>
      <c r="L97" s="171">
        <f t="shared" si="8"/>
        <v>16</v>
      </c>
      <c r="M97" s="173">
        <f t="shared" si="8"/>
        <v>4010</v>
      </c>
      <c r="N97" s="10"/>
    </row>
    <row r="98" spans="1:15" x14ac:dyDescent="0.3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3">
      <c r="B99" s="374" t="s">
        <v>30</v>
      </c>
      <c r="C99" s="375"/>
      <c r="D99" s="127">
        <f>SUM('June 2019'!D99+'May 2019'!D99+'April 2019'!D99+'March 2019'!D99+'Feb. 2019'!D99+'Jan. 2019'!D99+'Dec. 2018'!D99+'Nov. 2018'!D99+'Oct. 2018'!D99+'Sept. 2018'!D99+'Aug. 2018'!D99+'July 2018'!D99)</f>
        <v>0</v>
      </c>
      <c r="E99" s="127">
        <f>SUM('June 2019'!E99+'May 2019'!E99+'April 2019'!E99+'March 2019'!E99+'Feb. 2019'!E99+'Jan. 2019'!E99+'Dec. 2018'!E99+'Nov. 2018'!E99+'Oct. 2018'!E99+'Sept. 2018'!E99+'Aug. 2018'!E99+'July 2018'!E99)</f>
        <v>0</v>
      </c>
      <c r="F99" s="127">
        <f>SUM('June 2019'!F99+'May 2019'!F99+'April 2019'!F99+'March 2019'!F99+'Feb. 2019'!F99+'Jan. 2019'!F99+'Dec. 2018'!F99+'Nov. 2018'!F99+'Oct. 2018'!F99+'Sept. 2018'!F99+'Aug. 2018'!F99+'July 2018'!F99)</f>
        <v>15</v>
      </c>
      <c r="G99" s="127">
        <f>SUM('June 2019'!G99+'May 2019'!G99+'April 2019'!G99+'March 2019'!G99+'Feb. 2019'!G99+'Jan. 2019'!G99+'Dec. 2018'!G99+'Nov. 2018'!G99+'Oct. 2018'!G99+'Sept. 2018'!G99+'Aug. 2018'!G99+'July 2018'!G99)</f>
        <v>124</v>
      </c>
      <c r="H99" s="127">
        <f>SUM('June 2019'!H99+'May 2019'!H99+'April 2019'!H99+'March 2019'!H99+'Feb. 2019'!H99+'Jan. 2019'!H99+'Dec. 2018'!H99+'Nov. 2018'!H99+'Oct. 2018'!H99+'Sept. 2018'!H99+'Aug. 2018'!H99+'July 2018'!H99)</f>
        <v>10</v>
      </c>
      <c r="I99" s="127">
        <f>SUM('June 2019'!I99+'May 2019'!I99+'April 2019'!I99+'March 2019'!I99+'Feb. 2019'!I99+'Jan. 2019'!I99+'Dec. 2018'!I99+'Nov. 2018'!I99+'Oct. 2018'!I99+'Sept. 2018'!I99+'Aug. 2018'!I99+'July 2018'!I99)</f>
        <v>0</v>
      </c>
      <c r="J99" s="127">
        <f>SUM('June 2019'!J99+'May 2019'!J99+'April 2019'!J99+'March 2019'!J99+'Feb. 2019'!J99+'Jan. 2019'!J99+'Dec. 2018'!J99+'Nov. 2018'!J99+'Oct. 2018'!J99+'Sept. 2018'!J99+'Aug. 2018'!J99+'July 2018'!J99)</f>
        <v>0</v>
      </c>
      <c r="K99" s="127">
        <f>SUM('June 2019'!K99+'May 2019'!K99+'April 2019'!K99+'March 2019'!K99+'Feb. 2019'!K99+'Jan. 2019'!K99+'Dec. 2018'!K99+'Nov. 2018'!K99+'Oct. 2018'!K99+'Sept. 2018'!K99+'Aug. 2018'!K99+'July 2018'!K99)</f>
        <v>443</v>
      </c>
      <c r="L99" s="127">
        <f>SUM('June 2019'!L99+'May 2019'!L99+'April 2019'!L99+'March 2019'!L99+'Feb. 2019'!L99+'Jan. 2019'!L99+'Dec. 2018'!L99+'Nov. 2018'!L99+'Oct. 2018'!L99+'Sept. 2018'!L99+'Aug. 2018'!L99+'July 2018'!L99)</f>
        <v>5</v>
      </c>
      <c r="M99" s="151">
        <f>SUM(D99:L99)</f>
        <v>597</v>
      </c>
      <c r="N99" s="10"/>
    </row>
    <row r="100" spans="1:15" x14ac:dyDescent="0.3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3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67" t="s">
        <v>174</v>
      </c>
      <c r="N101" s="48"/>
    </row>
    <row r="102" spans="1:15" x14ac:dyDescent="0.3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68"/>
      <c r="N102" s="48"/>
    </row>
    <row r="103" spans="1:15" x14ac:dyDescent="0.3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69"/>
      <c r="N103" s="176" t="s">
        <v>12</v>
      </c>
    </row>
    <row r="104" spans="1:15" x14ac:dyDescent="0.3">
      <c r="B104" s="374" t="s">
        <v>23</v>
      </c>
      <c r="C104" s="375"/>
      <c r="D104" s="201">
        <f>SUM('June 2019'!D104+'May 2019'!D104+'April 2019'!D104+'March 2019'!D104+'Feb. 2019'!D104+'Jan. 2019'!D104+'Dec. 2018'!D104+'Nov. 2018'!D104+'Oct. 2018'!D104+'Sept. 2018'!D104+'Aug. 2018'!D104+'July 2018'!D104)</f>
        <v>247.75</v>
      </c>
      <c r="E104" s="201">
        <f>SUM('June 2019'!E104+'May 2019'!E104+'April 2019'!E104+'March 2019'!E104+'Feb. 2019'!E104+'Jan. 2019'!E104+'Dec. 2018'!E104+'Nov. 2018'!E104+'Oct. 2018'!E104+'Sept. 2018'!E104+'Aug. 2018'!E104+'July 2018'!E104)</f>
        <v>19.5</v>
      </c>
      <c r="F104" s="201">
        <f>SUM('June 2019'!F104+'May 2019'!F104+'April 2019'!F104+'March 2019'!F104+'Feb. 2019'!F104+'Jan. 2019'!F104+'Dec. 2018'!F104+'Nov. 2018'!F104+'Oct. 2018'!F104+'Sept. 2018'!F104+'Aug. 2018'!F104+'July 2018'!F104)</f>
        <v>626.49</v>
      </c>
      <c r="G104" s="201">
        <f>SUM('June 2019'!G104+'May 2019'!G104+'April 2019'!G104+'March 2019'!G104+'Feb. 2019'!G104+'Jan. 2019'!G104+'Dec. 2018'!G104+'Nov. 2018'!G104+'Oct. 2018'!G104+'Sept. 2018'!G104+'Aug. 2018'!G104+'July 2018'!G104)</f>
        <v>646.99</v>
      </c>
      <c r="H104" s="201">
        <f>SUM('June 2019'!H104+'May 2019'!H104+'April 2019'!H104+'March 2019'!H104+'Feb. 2019'!H104+'Jan. 2019'!H104+'Dec. 2018'!H104+'Nov. 2018'!H104+'Oct. 2018'!H104+'Sept. 2018'!H104+'Aug. 2018'!H104+'July 2018'!H104)</f>
        <v>247.5</v>
      </c>
      <c r="I104" s="201">
        <f>SUM('June 2019'!I104+'May 2019'!I104+'April 2019'!I104+'March 2019'!I104+'Feb. 2019'!I104+'Jan. 2019'!I104+'Dec. 2018'!I104+'Nov. 2018'!I104+'Oct. 2018'!I104+'Sept. 2018'!I104+'Aug. 2018'!I104+'July 2018'!I104)</f>
        <v>0</v>
      </c>
      <c r="J104" s="201">
        <f>SUM('June 2019'!J104+'May 2019'!J104+'April 2019'!J104+'March 2019'!J104+'Feb. 2019'!J104+'Jan. 2019'!J104+'Dec. 2018'!J104+'Nov. 2018'!J104+'Oct. 2018'!J104+'Sept. 2018'!J104+'Aug. 2018'!J104+'July 2018'!J104)</f>
        <v>0</v>
      </c>
      <c r="K104" s="201">
        <f>SUM('June 2019'!K104+'May 2019'!K104+'April 2019'!K104+'March 2019'!K104+'Feb. 2019'!K104+'Jan. 2019'!K104+'Dec. 2018'!K104+'Nov. 2018'!K104+'Oct. 2018'!K104+'Sept. 2018'!K104+'Aug. 2018'!K104+'July 2018'!K104)</f>
        <v>386.84000000000003</v>
      </c>
      <c r="L104" s="201">
        <f>SUM('June 2019'!L104+'May 2019'!L104+'April 2019'!L104+'March 2019'!L104+'Feb. 2019'!L104+'Jan. 2019'!L104+'Dec. 2018'!L104+'Nov. 2018'!L104+'Oct. 2018'!L104+'Sept. 2018'!L104+'Aug. 2018'!L104+'July 2018'!L104)</f>
        <v>113.2</v>
      </c>
      <c r="M104" s="201">
        <f>SUM('June 2019'!M104+'May 2019'!M104+'April 2019'!M104+'March 2019'!M104+'Feb. 2019'!M104+'Jan. 2019'!M104+'Dec. 2018'!M104+'Nov. 2018'!M104+'Oct. 2018'!M104+'Sept. 2018'!M104+'Aug. 2018'!M104+'July 2018'!M104)</f>
        <v>165.25</v>
      </c>
      <c r="N104" s="133">
        <f>SUM(D104:M104)</f>
        <v>2453.52</v>
      </c>
    </row>
    <row r="105" spans="1:15" x14ac:dyDescent="0.3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3">
      <c r="C106" s="6" t="s">
        <v>85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3">
      <c r="C107" s="51" t="s">
        <v>87</v>
      </c>
      <c r="D107" s="10"/>
      <c r="E107" s="127">
        <f>SUM('June 2019'!E107+'May 2019'!E107+'April 2019'!E107+'March 2019'!E107+'Feb. 2019'!E107+'Jan. 2019'!E107+'Dec. 2018'!E107+'Nov. 2018'!E107+'Oct. 2018'!E107+'Sept. 2018'!E107+'Aug. 2018'!E107+'July 2018'!E107)</f>
        <v>9267</v>
      </c>
      <c r="K107" s="10"/>
      <c r="L107" s="10"/>
      <c r="M107" s="10"/>
      <c r="N107" s="10"/>
    </row>
    <row r="108" spans="1:15" x14ac:dyDescent="0.3">
      <c r="C108" s="51" t="s">
        <v>89</v>
      </c>
      <c r="D108" s="10"/>
      <c r="E108" s="127">
        <f>SUM('June 2019'!E108+'May 2019'!E108+'April 2019'!E108+'March 2019'!E108+'Feb. 2019'!E108+'Jan. 2019'!E108+'Dec. 2018'!E108+'Nov. 2018'!E108+'Oct. 2018'!E108+'Sept. 2018'!E108+'Aug. 2018'!E108+'July 2018'!E108)</f>
        <v>1603</v>
      </c>
      <c r="K108" s="10"/>
      <c r="L108" s="10"/>
      <c r="M108" s="10"/>
      <c r="N108" s="10"/>
    </row>
    <row r="109" spans="1:15" x14ac:dyDescent="0.3">
      <c r="C109" s="51" t="s">
        <v>91</v>
      </c>
      <c r="D109" s="10"/>
      <c r="E109" s="127">
        <f>SUM('June 2019'!E109+'May 2019'!E109+'April 2019'!E109+'March 2019'!E109+'Feb. 2019'!E109+'Jan. 2019'!E109+'Dec. 2018'!E109+'Nov. 2018'!E109+'Oct. 2018'!E109+'Sept. 2018'!E109+'Aug. 2018'!E109+'July 2018'!E109)</f>
        <v>225</v>
      </c>
      <c r="K109" s="10"/>
      <c r="L109" s="10"/>
      <c r="M109" s="10"/>
      <c r="N109" s="10"/>
    </row>
    <row r="110" spans="1:15" x14ac:dyDescent="0.3">
      <c r="C110" s="51" t="s">
        <v>94</v>
      </c>
      <c r="D110" s="10"/>
      <c r="E110" s="127">
        <f>SUM('June 2019'!E110+'May 2019'!E110+'April 2019'!E110+'March 2019'!E110+'Feb. 2019'!E110+'Jan. 2019'!E110+'Dec. 2018'!E110+'Nov. 2018'!E110+'Oct. 2018'!E110+'Sept. 2018'!E110+'Aug. 2018'!E110+'July 2018'!E110)</f>
        <v>123</v>
      </c>
      <c r="K110" s="10"/>
      <c r="L110" s="10"/>
      <c r="M110" s="10"/>
      <c r="N110" s="10"/>
    </row>
    <row r="111" spans="1:15" x14ac:dyDescent="0.3">
      <c r="C111" s="52" t="s">
        <v>97</v>
      </c>
      <c r="D111" s="15"/>
      <c r="E111" s="127">
        <f>SUM('June 2019'!E111+'May 2019'!E111+'April 2019'!E111+'March 2019'!E111+'Feb. 2019'!E111+'Jan. 2019'!E111+'Dec. 2018'!E111+'Nov. 2018'!E111+'Oct. 2018'!E111+'Sept. 2018'!E111+'Aug. 2018'!E111+'July 2018'!E111)</f>
        <v>53</v>
      </c>
      <c r="K111" s="10"/>
      <c r="L111" s="10"/>
      <c r="M111" s="10"/>
      <c r="N111" s="10"/>
    </row>
    <row r="112" spans="1:15" x14ac:dyDescent="0.3">
      <c r="B112" s="54"/>
      <c r="C112" s="10"/>
      <c r="D112" s="10"/>
      <c r="E112" s="10"/>
      <c r="K112" s="10"/>
      <c r="L112" s="10"/>
      <c r="M112" s="10"/>
      <c r="N112" s="10"/>
    </row>
    <row r="113" spans="2:14" x14ac:dyDescent="0.3">
      <c r="C113" s="6" t="s">
        <v>101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3">
      <c r="C114" s="51" t="s">
        <v>103</v>
      </c>
      <c r="D114" s="23"/>
      <c r="E114" s="23"/>
      <c r="F114" s="127">
        <f>SUM('June 2019'!F114+'May 2019'!F114+'April 2019'!F114+'March 2019'!F114+'Feb. 2019'!F114+'Jan. 2019'!F114+'Dec. 2018'!F114+'Nov. 2018'!F114+'Oct. 2018'!F114+'Sept. 2018'!F114+'Aug. 2018'!F114+'July 2018'!F114)</f>
        <v>443</v>
      </c>
      <c r="J114" s="10"/>
      <c r="K114" s="10"/>
      <c r="L114" s="10"/>
      <c r="M114" s="10"/>
      <c r="N114" s="10"/>
    </row>
    <row r="115" spans="2:14" x14ac:dyDescent="0.3">
      <c r="C115" s="51" t="s">
        <v>105</v>
      </c>
      <c r="D115" s="12"/>
      <c r="E115" s="12"/>
      <c r="F115" s="127">
        <f>SUM('June 2019'!F115+'May 2019'!F115+'April 2019'!F115+'March 2019'!F115+'Feb. 2019'!F115+'Jan. 2019'!F115+'Dec. 2018'!F115+'Nov. 2018'!F115+'Oct. 2018'!F115+'Sept. 2018'!F115+'Aug. 2018'!F115+'July 2018'!F115)</f>
        <v>403</v>
      </c>
      <c r="J115" s="10"/>
      <c r="K115" s="10"/>
      <c r="L115" s="10"/>
      <c r="M115" s="10"/>
      <c r="N115" s="10"/>
    </row>
    <row r="116" spans="2:14" x14ac:dyDescent="0.3">
      <c r="C116" s="53" t="s">
        <v>106</v>
      </c>
      <c r="D116" s="14"/>
      <c r="E116" s="15"/>
      <c r="F116" s="127">
        <f>SUM('June 2019'!F116+'May 2019'!F116+'April 2019'!F116+'March 2019'!F116+'Feb. 2019'!F116+'Jan. 2019'!F116+'Dec. 2018'!F116+'Nov. 2018'!F116+'Oct. 2018'!F116+'Sept. 2018'!F116+'Aug. 2018'!F116+'July 2018'!F116)</f>
        <v>3</v>
      </c>
    </row>
    <row r="117" spans="2:14" x14ac:dyDescent="0.3">
      <c r="B117" s="12"/>
      <c r="C117" s="23"/>
      <c r="D117" s="10"/>
      <c r="E117" s="10"/>
    </row>
    <row r="118" spans="2:14" x14ac:dyDescent="0.3">
      <c r="C118" s="6" t="s">
        <v>84</v>
      </c>
      <c r="D118" s="7"/>
      <c r="E118" s="49"/>
    </row>
    <row r="119" spans="2:14" x14ac:dyDescent="0.3">
      <c r="C119" s="9" t="s">
        <v>21</v>
      </c>
      <c r="D119" s="10"/>
      <c r="E119" s="127">
        <f>SUM('June 2019'!E119+'May 2019'!E119+'April 2019'!E119+'March 2019'!E119+'Feb. 2019'!E119+'Jan. 2019'!E119+'Dec. 2018'!E119+'Nov. 2018'!E119+'Oct. 2018'!E119+'Sept. 2018'!E119+'Aug. 2018'!E119+'July 2018'!E119)</f>
        <v>6019</v>
      </c>
    </row>
    <row r="120" spans="2:14" x14ac:dyDescent="0.3">
      <c r="C120" s="9" t="s">
        <v>20</v>
      </c>
      <c r="D120" s="10"/>
      <c r="E120" s="127">
        <f>SUM('June 2019'!E120+'May 2019'!E120+'April 2019'!E120+'March 2019'!E120+'Feb. 2019'!E120+'Jan. 2019'!E120+'Dec. 2018'!E120+'Nov. 2018'!E120+'Oct. 2018'!E120+'Sept. 2018'!E120+'Aug. 2018'!E120+'July 2018'!E120)</f>
        <v>2478</v>
      </c>
    </row>
    <row r="121" spans="2:14" x14ac:dyDescent="0.3">
      <c r="C121" s="9" t="s">
        <v>19</v>
      </c>
      <c r="D121" s="10"/>
      <c r="E121" s="127">
        <f>SUM('June 2019'!E121+'May 2019'!E121+'April 2019'!E121+'March 2019'!E121+'Feb. 2019'!E121+'Jan. 2019'!E121+'Dec. 2018'!E121+'Nov. 2018'!E121+'Oct. 2018'!E121+'Sept. 2018'!E121+'Aug. 2018'!E121+'July 2018'!E121)</f>
        <v>306</v>
      </c>
    </row>
    <row r="122" spans="2:14" x14ac:dyDescent="0.3">
      <c r="C122" s="9" t="s">
        <v>93</v>
      </c>
      <c r="D122" s="10"/>
      <c r="E122" s="127">
        <f>SUM('June 2019'!E122+'May 2019'!E122+'April 2019'!E122+'March 2019'!E122+'Feb. 2019'!E122+'Jan. 2019'!E122+'Dec. 2018'!E122+'Nov. 2018'!E122+'Oct. 2018'!E122+'Sept. 2018'!E122+'Aug. 2018'!E122+'July 2018'!E122)</f>
        <v>5441</v>
      </c>
    </row>
    <row r="123" spans="2:14" x14ac:dyDescent="0.3">
      <c r="C123" s="13" t="s">
        <v>96</v>
      </c>
      <c r="D123" s="15"/>
      <c r="E123" s="127">
        <f>SUM('June 2019'!E123+'May 2019'!E123+'April 2019'!E123+'March 2019'!E123+'Feb. 2019'!E123+'Jan. 2019'!E123+'Dec. 2018'!E123+'Nov. 2018'!E123+'Oct. 2018'!E123+'Sept. 2018'!E123+'Aug. 2018'!E123+'July 2018'!E123)</f>
        <v>20</v>
      </c>
    </row>
    <row r="125" spans="2:14" x14ac:dyDescent="0.3">
      <c r="C125" s="6" t="s">
        <v>83</v>
      </c>
      <c r="D125" s="39"/>
      <c r="E125" s="33"/>
    </row>
    <row r="126" spans="2:14" x14ac:dyDescent="0.3">
      <c r="C126" s="50" t="s">
        <v>86</v>
      </c>
      <c r="D126" s="10"/>
      <c r="E126" s="127">
        <f>SUM('June 2019'!E126+'May 2019'!E126+'April 2019'!E126+'March 2019'!E126+'Feb. 2019'!E126+'Jan. 2019'!E126+'Dec. 2018'!E126+'Nov. 2018'!E126+'Oct. 2018'!E126+'Sept. 2018'!E126+'Aug. 2018'!E126+'July 2018'!E126)</f>
        <v>76</v>
      </c>
    </row>
    <row r="127" spans="2:14" x14ac:dyDescent="0.3">
      <c r="C127" s="51" t="s">
        <v>88</v>
      </c>
      <c r="D127" s="10"/>
      <c r="E127" s="127">
        <f>SUM('June 2019'!E127+'May 2019'!E127+'April 2019'!E127+'March 2019'!E127+'Feb. 2019'!E127+'Jan. 2019'!E127+'Dec. 2018'!E127+'Nov. 2018'!E127+'Oct. 2018'!E127+'Sept. 2018'!E127+'Aug. 2018'!E127+'July 2018'!E127)</f>
        <v>28</v>
      </c>
    </row>
    <row r="128" spans="2:14" x14ac:dyDescent="0.3">
      <c r="C128" s="51" t="s">
        <v>90</v>
      </c>
      <c r="D128" s="10"/>
      <c r="E128" s="127">
        <f>SUM('June 2019'!E128+'May 2019'!E128+'April 2019'!E128+'March 2019'!E128+'Feb. 2019'!E128+'Jan. 2019'!E128+'Dec. 2018'!E128+'Nov. 2018'!E128+'Oct. 2018'!E128+'Sept. 2018'!E128+'Aug. 2018'!E128+'July 2018'!E128)</f>
        <v>803</v>
      </c>
    </row>
    <row r="129" spans="3:15" x14ac:dyDescent="0.3">
      <c r="C129" s="51" t="s">
        <v>92</v>
      </c>
      <c r="D129" s="12"/>
      <c r="E129" s="127">
        <f>SUM('June 2019'!E129+'May 2019'!E129+'April 2019'!E129+'March 2019'!E129+'Feb. 2019'!E129+'Jan. 2019'!E129+'Dec. 2018'!E129+'Nov. 2018'!E129+'Oct. 2018'!E129+'Sept. 2018'!E129+'Aug. 2018'!E129+'July 2018'!E129)</f>
        <v>11332</v>
      </c>
    </row>
    <row r="130" spans="3:15" x14ac:dyDescent="0.3">
      <c r="C130" s="51" t="s">
        <v>95</v>
      </c>
      <c r="D130" s="12"/>
      <c r="E130" s="127">
        <f>SUM('June 2019'!E130+'May 2019'!E130+'April 2019'!E130+'March 2019'!E130+'Feb. 2019'!E130+'Jan. 2019'!E130+'Dec. 2018'!E130+'Nov. 2018'!E130+'Oct. 2018'!E130+'Sept. 2018'!E130+'Aug. 2018'!E130+'July 2018'!E130)</f>
        <v>824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3">
      <c r="C131" s="51" t="s">
        <v>98</v>
      </c>
      <c r="D131" s="12"/>
      <c r="E131" s="127">
        <f>SUM('June 2019'!E131+'May 2019'!E131+'April 2019'!E131+'March 2019'!E131+'Feb. 2019'!E131+'Jan. 2019'!E131+'Dec. 2018'!E131+'Nov. 2018'!E131+'Oct. 2018'!E131+'Sept. 2018'!E131+'Aug. 2018'!E131+'July 2018'!E131)</f>
        <v>146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3">
      <c r="C132" s="51" t="s">
        <v>99</v>
      </c>
      <c r="D132" s="11"/>
      <c r="E132" s="127">
        <f>SUM('June 2019'!E132+'May 2019'!E132+'April 2019'!E132+'March 2019'!E132+'Feb. 2019'!E132+'Jan. 2019'!E132+'Dec. 2018'!E132+'Nov. 2018'!E132+'Oct. 2018'!E132+'Sept. 2018'!E132+'Aug. 2018'!E132+'July 2018'!E132)</f>
        <v>266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3">
      <c r="C133" s="51" t="s">
        <v>100</v>
      </c>
      <c r="D133" s="10"/>
      <c r="E133" s="127">
        <f>SUM('June 2019'!E133+'May 2019'!E133+'April 2019'!E133+'March 2019'!E133+'Feb. 2019'!E133+'Jan. 2019'!E133+'Dec. 2018'!E133+'Nov. 2018'!E133+'Oct. 2018'!E133+'Sept. 2018'!E133+'Aug. 2018'!E133+'July 2018'!E133)</f>
        <v>18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3">
      <c r="C134" s="50" t="s">
        <v>102</v>
      </c>
      <c r="D134" s="10"/>
      <c r="E134" s="127">
        <f>SUM('June 2019'!E134+'May 2019'!E134+'April 2019'!E134+'March 2019'!E134+'Feb. 2019'!E134+'Jan. 2019'!E134+'Dec. 2018'!E134+'Nov. 2018'!E134+'Oct. 2018'!E134+'Sept. 2018'!E134+'Aug. 2018'!E134+'July 2018'!E134)</f>
        <v>1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3">
      <c r="C135" s="50" t="s">
        <v>148</v>
      </c>
      <c r="D135" s="10"/>
      <c r="E135" s="127">
        <f>SUM('June 2019'!E135+'May 2019'!E135+'April 2019'!E135+'March 2019'!E135+'Feb. 2019'!E135+'Jan. 2019'!E135+'Dec. 2018'!E135+'Nov. 2018'!E135+'Oct. 2018'!E135+'Sept. 2018'!E135+'Aug. 2018'!E135+'July 2018'!E135)</f>
        <v>5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3">
      <c r="C136" s="50" t="s">
        <v>104</v>
      </c>
      <c r="D136" s="12"/>
      <c r="E136" s="127">
        <f>SUM('June 2019'!E136+'May 2019'!E136+'April 2019'!E136+'March 2019'!E136+'Feb. 2019'!E136+'Jan. 2019'!E136+'Dec. 2018'!E136+'Nov. 2018'!E136+'Oct. 2018'!E136+'Sept. 2018'!E136+'Aug. 2018'!E136+'July 2018'!E136)</f>
        <v>2</v>
      </c>
    </row>
    <row r="137" spans="3:15" x14ac:dyDescent="0.3">
      <c r="C137" s="50" t="s">
        <v>25</v>
      </c>
      <c r="D137" s="10"/>
      <c r="E137" s="127">
        <f>SUM('June 2019'!E137+'May 2019'!E137+'April 2019'!E137+'March 2019'!E137+'Feb. 2019'!E137+'Jan. 2019'!E137+'Dec. 2018'!E137+'Nov. 2018'!E137+'Oct. 2018'!E137+'Sept. 2018'!E137+'Aug. 2018'!E137+'July 2018'!E137)</f>
        <v>123</v>
      </c>
    </row>
    <row r="138" spans="3:15" x14ac:dyDescent="0.3">
      <c r="C138" s="50" t="s">
        <v>149</v>
      </c>
      <c r="D138" s="10"/>
      <c r="E138" s="127">
        <f>SUM('June 2019'!E138+'May 2019'!E138+'April 2019'!E138+'March 2019'!E138+'Feb. 2019'!E138+'Jan. 2019'!E138+'Dec. 2018'!E138+'Nov. 2018'!E138+'Oct. 2018'!E138+'Sept. 2018'!E138+'Aug. 2018'!E138+'July 2018'!E138)</f>
        <v>4</v>
      </c>
    </row>
    <row r="139" spans="3:15" x14ac:dyDescent="0.3">
      <c r="C139" s="52" t="s">
        <v>26</v>
      </c>
      <c r="D139" s="15"/>
      <c r="E139" s="127">
        <f>SUM('June 2019'!E139+'May 2019'!E139+'April 2019'!E139+'March 2019'!E139+'Feb. 2019'!E139+'Jan. 2019'!E139+'Dec. 2018'!E139+'Nov. 2018'!E139+'Oct. 2018'!E139+'Sept. 2018'!E139+'Aug. 2018'!E139+'July 2018'!E139)</f>
        <v>6319</v>
      </c>
    </row>
    <row r="140" spans="3:15" x14ac:dyDescent="0.3">
      <c r="E140" s="57"/>
      <c r="F140" s="57"/>
    </row>
    <row r="141" spans="3:15" x14ac:dyDescent="0.3">
      <c r="C141" s="6" t="s">
        <v>119</v>
      </c>
      <c r="D141" s="7"/>
      <c r="E141" s="32"/>
      <c r="F141" s="26"/>
      <c r="G141" s="27"/>
    </row>
    <row r="142" spans="3:15" x14ac:dyDescent="0.3">
      <c r="C142" s="99"/>
      <c r="D142" s="147"/>
      <c r="E142" s="100"/>
      <c r="F142" s="153" t="s">
        <v>171</v>
      </c>
      <c r="G142" s="30"/>
    </row>
    <row r="143" spans="3:15" x14ac:dyDescent="0.3">
      <c r="C143" s="51"/>
      <c r="D143" s="10"/>
      <c r="E143" s="191" t="s">
        <v>120</v>
      </c>
      <c r="F143" s="192" t="s">
        <v>172</v>
      </c>
      <c r="G143" s="193" t="s">
        <v>12</v>
      </c>
    </row>
    <row r="144" spans="3:15" x14ac:dyDescent="0.3">
      <c r="C144" s="158" t="s">
        <v>121</v>
      </c>
      <c r="D144" s="161"/>
      <c r="E144" s="127">
        <f>SUM('June 2019'!E144+'May 2019'!E144+'April 2019'!E144+'March 2019'!E144+'Feb. 2019'!E144+'Jan. 2019'!E144+'Dec. 2018'!E144+'Nov. 2018'!E144+'Oct. 2018'!E144+'Sept. 2018'!E144+'Aug. 2018'!E144+'July 2018'!E144)</f>
        <v>31</v>
      </c>
      <c r="F144" s="127">
        <f>SUM('June 2019'!F144+'May 2019'!F144+'April 2019'!F144+'March 2019'!F144+'Feb. 2019'!F144+'Jan. 2019'!F144+'Dec. 2018'!F144+'Nov. 2018'!F144+'Oct. 2018'!F144+'Sept. 2018'!F144+'Aug. 2018'!F144+'July 2018'!F144)</f>
        <v>3</v>
      </c>
      <c r="G144" s="157">
        <f>SUM(E144:F144)</f>
        <v>34</v>
      </c>
    </row>
    <row r="145" spans="2:14" x14ac:dyDescent="0.3">
      <c r="C145" s="199" t="s">
        <v>13</v>
      </c>
      <c r="D145" s="163"/>
      <c r="E145" s="127">
        <f>SUM('June 2019'!E145+'May 2019'!E145+'April 2019'!E145+'March 2019'!E145+'Feb. 2019'!E145+'Jan. 2019'!E145+'Dec. 2018'!E145+'Nov. 2018'!E145+'Oct. 2018'!E145+'Sept. 2018'!E145+'Aug. 2018'!E145+'July 2018'!E145)</f>
        <v>5</v>
      </c>
      <c r="F145" s="127" t="s">
        <v>182</v>
      </c>
      <c r="G145" s="157">
        <f t="shared" ref="G145:G148" si="9">SUM(E145:F145)</f>
        <v>5</v>
      </c>
    </row>
    <row r="146" spans="2:14" x14ac:dyDescent="0.3">
      <c r="C146" s="199" t="s">
        <v>122</v>
      </c>
      <c r="D146" s="163"/>
      <c r="E146" s="127">
        <f>SUM('June 2019'!E146+'May 2019'!E146+'April 2019'!E146+'March 2019'!E146+'Feb. 2019'!E146+'Jan. 2019'!E146+'Dec. 2018'!E146+'Nov. 2018'!E146+'Oct. 2018'!E146+'Sept. 2018'!E146+'Aug. 2018'!E146+'July 2018'!E146)</f>
        <v>4</v>
      </c>
      <c r="F146" s="127">
        <f>SUM('June 2019'!F146+'May 2019'!F146+'April 2019'!F146+'March 2019'!F146+'Feb. 2019'!F146+'Jan. 2019'!F146+'Dec. 2018'!F146+'Nov. 2018'!F146+'Oct. 2018'!F146+'Sept. 2018'!F146+'Aug. 2018'!F146+'July 2018'!F146)</f>
        <v>0</v>
      </c>
      <c r="G146" s="157">
        <f t="shared" si="9"/>
        <v>4</v>
      </c>
    </row>
    <row r="147" spans="2:14" x14ac:dyDescent="0.3">
      <c r="C147" s="158" t="s">
        <v>124</v>
      </c>
      <c r="D147" s="162"/>
      <c r="E147" s="127">
        <f>SUM('June 2019'!E147+'May 2019'!E147+'April 2019'!E147+'March 2019'!E147+'Feb. 2019'!E147+'Jan. 2019'!E147+'Dec. 2018'!E147+'Nov. 2018'!E147+'Oct. 2018'!E147+'Sept. 2018'!E147+'Aug. 2018'!E147+'July 2018'!E147)</f>
        <v>231</v>
      </c>
      <c r="F147" s="127">
        <f>SUM('June 2019'!F147+'May 2019'!F147+'April 2019'!F147+'March 2019'!F147+'Feb. 2019'!F147+'Jan. 2019'!F147+'Dec. 2018'!F147+'Nov. 2018'!F147+'Oct. 2018'!F147+'Sept. 2018'!F147+'Aug. 2018'!F147+'July 2018'!F147)</f>
        <v>1</v>
      </c>
      <c r="G147" s="157">
        <f t="shared" si="9"/>
        <v>232</v>
      </c>
      <c r="L147" s="10"/>
      <c r="M147" s="29"/>
    </row>
    <row r="148" spans="2:14" x14ac:dyDescent="0.3">
      <c r="C148" s="159" t="s">
        <v>13</v>
      </c>
      <c r="D148" s="158"/>
      <c r="E148" s="127">
        <f>SUM('June 2019'!E148+'May 2019'!E148+'April 2019'!E148+'March 2019'!E148+'Feb. 2019'!E148+'Jan. 2019'!E148+'Dec. 2018'!E148+'Nov. 2018'!E148+'Oct. 2018'!E148+'Sept. 2018'!E148+'Aug. 2018'!E148+'July 2018'!E148)</f>
        <v>22</v>
      </c>
      <c r="F148" s="127" t="s">
        <v>126</v>
      </c>
      <c r="G148" s="157">
        <f t="shared" si="9"/>
        <v>22</v>
      </c>
    </row>
    <row r="149" spans="2:14" x14ac:dyDescent="0.3">
      <c r="C149" s="154"/>
      <c r="D149" s="57"/>
      <c r="E149" s="29"/>
      <c r="F149" s="29"/>
      <c r="G149" s="29"/>
    </row>
    <row r="150" spans="2:14" ht="15" thickBot="1" x14ac:dyDescent="0.35">
      <c r="B150" s="121" t="s">
        <v>173</v>
      </c>
      <c r="C150" s="148"/>
      <c r="E150" s="48"/>
      <c r="N150" s="48"/>
    </row>
    <row r="151" spans="2:14" ht="55.8" thickBot="1" x14ac:dyDescent="0.35">
      <c r="B151" s="376" t="s">
        <v>150</v>
      </c>
      <c r="C151" s="377"/>
      <c r="D151" s="378" t="s">
        <v>151</v>
      </c>
      <c r="E151" s="379"/>
      <c r="F151" s="115" t="s">
        <v>152</v>
      </c>
      <c r="G151" s="115" t="s">
        <v>153</v>
      </c>
    </row>
    <row r="152" spans="2:14" ht="22.5" customHeight="1" thickBot="1" x14ac:dyDescent="0.35">
      <c r="B152" s="401" t="s">
        <v>180</v>
      </c>
      <c r="C152" s="402"/>
      <c r="D152" s="403">
        <f>SUM('July 2018'!D152:F152+'Aug. 2018'!D152:F152+'Sept. 2018'!D152:F152+'Oct. 2018'!D152:F152+'Nov. 2018'!D152:F152+'Dec. 2018'!D152:F152+'Jan. 2019'!D152:F152+'Feb. 2019'!D152:F152+'March 2019'!D152:F152+'April 2019'!D152:F152+'May 2019'!D152:F152+'June 2019'!D152:F152)</f>
        <v>0</v>
      </c>
      <c r="E152" s="404"/>
      <c r="F152" s="127">
        <f>SUM('June 2019'!F152+'May 2019'!F152+'April 2019'!F152+'March 2019'!F152+'Feb. 2019'!F152+'Jan. 2019'!F152+'Dec. 2018'!F152+'Nov. 2018'!F152+'Oct. 2018'!F152+'Sept. 2018'!F152+'Aug. 2018'!F152+'July 2018'!F152)</f>
        <v>14</v>
      </c>
      <c r="G152" s="410" t="s">
        <v>219</v>
      </c>
      <c r="H152" s="411"/>
      <c r="I152" s="411"/>
    </row>
    <row r="153" spans="2:14" ht="21.75" customHeight="1" thickBot="1" x14ac:dyDescent="0.35">
      <c r="B153" s="399"/>
      <c r="C153" s="400"/>
      <c r="D153" s="403">
        <f>SUM('July 2018'!D153:F153+'Aug. 2018'!D153:E153+'Sept. 2018'!D153:E153+'Oct. 2018'!D153:E153+'Nov. 2018'!D153:E153+'Dec. 2018'!D153:E153+'Jan. 2019'!D153:F153+'Feb. 2019'!D153:E153+'March 2019'!D153:E153+'April 2019'!D153:F153+'May 2019'!D153:E153+'June 2019'!D153:F153)</f>
        <v>0</v>
      </c>
      <c r="E153" s="404"/>
      <c r="F153" s="127">
        <f>SUM('June 2019'!F153+'May 2019'!F153+'April 2019'!F153+'March 2019'!F153+'Feb. 2019'!F153+'Jan. 2019'!F153+'Dec. 2018'!F153+'Nov. 2018'!F153+'Oct. 2018'!F153+'Sept. 2018'!F153+'Aug. 2018'!F153+'July 2018'!F153)</f>
        <v>0</v>
      </c>
    </row>
    <row r="154" spans="2:14" ht="23.25" customHeight="1" thickBot="1" x14ac:dyDescent="0.35">
      <c r="B154" s="372" t="s">
        <v>169</v>
      </c>
      <c r="C154" s="373"/>
      <c r="D154" s="403">
        <f>SUM('July 2018'!D154:E154+'Aug. 2018'!D154:E154+'Sept. 2018'!D154:E154+'Oct. 2018'!D154:E154+'Nov. 2018'!D154:E154+'Dec. 2018'!D154:E154+'Jan. 2019'!D154:F154+'Feb. 2019'!D154:E154+'March 2019'!D154:E154+'April 2019'!D154:F154+'May 2019'!D154:E154+'June 2019'!D154:F154)</f>
        <v>3063</v>
      </c>
      <c r="E154" s="404"/>
      <c r="F154" s="127">
        <f>SUM('June 2019'!F154+'May 2019'!F154+'April 2019'!F154+'March 2019'!F154+'Feb. 2019'!F154+'Jan. 2019'!F154+'Dec. 2018'!F154+'Nov. 2018'!F154+'Oct. 2018'!F154+'Sept. 2018'!F154+'Aug. 2018'!F154+'July 2018'!F154)</f>
        <v>0</v>
      </c>
    </row>
    <row r="155" spans="2:14" ht="25.5" customHeight="1" thickBot="1" x14ac:dyDescent="0.35">
      <c r="B155" s="412" t="s">
        <v>183</v>
      </c>
      <c r="C155" s="413"/>
      <c r="D155" s="403">
        <f>SUM('July 2018'!D155:E155+'Aug. 2018'!D155:E155+'Sept. 2018'!D155:E155+'Oct. 2018'!D155:E155+'Nov. 2018'!D155:E155+'Dec. 2018'!D155:E155+'Jan. 2019'!D155:E155+'Feb. 2019'!D155:E155+'March 2019'!D155:E155+'April 2019'!D155:F155+'May 2019'!D155:E155+'June 2019'!D155:F155)</f>
        <v>14852</v>
      </c>
      <c r="E155" s="404"/>
      <c r="F155" s="127">
        <f>SUM('June 2019'!F155+'May 2019'!F155+'April 2019'!F155+'March 2019'!F155+'Feb. 2019'!F155+'Jan. 2019'!F155+'Dec. 2018'!F155+'Nov. 2018'!F155+'Oct. 2018'!F155+'Sept. 2018'!F155+'Aug. 2018'!F155+'July 2018'!F155)</f>
        <v>0</v>
      </c>
    </row>
    <row r="156" spans="2:14" ht="15" thickBot="1" x14ac:dyDescent="0.35">
      <c r="B156" s="372" t="s">
        <v>154</v>
      </c>
      <c r="C156" s="373"/>
      <c r="D156" s="403">
        <f>SUM('July 2018'!D156:E156+'Aug. 2018'!D156:E156+'Sept. 2018'!D156:E156+'Oct. 2018'!D156:E156+'Nov. 2018'!D156:E156+'Dec. 2018'!D156:E156+'Jan. 2019'!D156:E156+'Feb. 2019'!D156:E156+'March 2019'!D156:E156+'April 2019'!D156:F156+'May 2019'!D156:E156+'June 2019'!D156:F156)</f>
        <v>43132</v>
      </c>
      <c r="E156" s="404"/>
      <c r="F156" s="127">
        <f>SUM('June 2019'!F156+'May 2019'!F156+'April 2019'!F156+'March 2019'!F156+'Feb. 2019'!F156+'Jan. 2019'!F156+'Dec. 2018'!F156+'Nov. 2018'!F156+'Oct. 2018'!F156+'Sept. 2018'!F156+'Aug. 2018'!F156+'July 2018'!F156)</f>
        <v>0</v>
      </c>
    </row>
    <row r="157" spans="2:14" ht="15" thickBot="1" x14ac:dyDescent="0.35">
      <c r="B157" s="372" t="s">
        <v>155</v>
      </c>
      <c r="C157" s="373"/>
      <c r="D157" s="403">
        <f>SUM('July 2018'!D157:E157+'Aug. 2018'!D157:E157+'Sept. 2018'!D157:E157+'Oct. 2018'!D157:E157+'Nov. 2018'!D157:E157+'Dec. 2018'!D157:E157+'Jan. 2019'!D157:E157+'Feb. 2019'!D157:E157+'March 2019'!D157:E157+'April 2019'!D157:F157+'May 2019'!D157:E157+'June 2019'!D157:F157)</f>
        <v>2264</v>
      </c>
      <c r="E157" s="404"/>
      <c r="F157" s="127">
        <f>SUM('June 2019'!F157+'May 2019'!F157+'April 2019'!F157+'March 2019'!F157+'Feb. 2019'!F157+'Jan. 2019'!F157+'Dec. 2018'!F157+'Nov. 2018'!F157+'Oct. 2018'!F157+'Sept. 2018'!F157+'Aug. 2018'!F157+'July 2018'!F157)</f>
        <v>0</v>
      </c>
    </row>
    <row r="158" spans="2:14" ht="15" thickBot="1" x14ac:dyDescent="0.35">
      <c r="B158" s="372" t="s">
        <v>156</v>
      </c>
      <c r="C158" s="373"/>
      <c r="D158" s="403">
        <f>SUM('July 2018'!D158:E158+'Aug. 2018'!D158:E158+'Sept. 2018'!D158:E158+'Oct. 2018'!D158:E158+'Nov. 2018'!D158:E158+'Dec. 2018'!D158:E158+'Jan. 2019'!D158:E158+'Feb. 2019'!D158:E158+'March 2019'!D158:E158+'April 2019'!D158:F158+'May 2019'!D158:E158+'June 2019'!D158:F158)</f>
        <v>47551</v>
      </c>
      <c r="E158" s="404"/>
      <c r="F158" s="127">
        <f>SUM('June 2019'!F158+'May 2019'!F158+'April 2019'!F158+'March 2019'!F158+'Feb. 2019'!F158+'Jan. 2019'!F158+'Dec. 2018'!F158+'Nov. 2018'!F158+'Oct. 2018'!F158+'Sept. 2018'!F158+'Aug. 2018'!F158+'July 2018'!F158)</f>
        <v>0</v>
      </c>
    </row>
    <row r="159" spans="2:14" ht="15" thickBot="1" x14ac:dyDescent="0.35">
      <c r="B159" s="372" t="s">
        <v>123</v>
      </c>
      <c r="C159" s="373"/>
      <c r="D159" s="403">
        <f>SUM('July 2018'!D159:E159+'Aug. 2018'!D159:E159+'Sept. 2018'!D159:E159+'Oct. 2018'!D159:E159+'Nov. 2018'!D159:E159+'Dec. 2018'!D159:E159+'Jan. 2019'!D159:E159+'Feb. 2019'!D159:E159+'March 2019'!D159:E159+'April 2019'!D159:F159+'May 2019'!D159:E159+'June 2019'!D159:F159)</f>
        <v>1789</v>
      </c>
      <c r="E159" s="404"/>
      <c r="F159" s="127">
        <f>SUM('June 2019'!F159+'May 2019'!F159+'April 2019'!F159+'March 2019'!F159+'Feb. 2019'!F159+'Jan. 2019'!F159+'Dec. 2018'!F159+'Nov. 2018'!F159+'Oct. 2018'!F159+'Sept. 2018'!F159+'Aug. 2018'!F159+'July 2018'!F159)</f>
        <v>0</v>
      </c>
    </row>
    <row r="160" spans="2:14" ht="15" thickBot="1" x14ac:dyDescent="0.35">
      <c r="B160" s="372" t="s">
        <v>125</v>
      </c>
      <c r="C160" s="373"/>
      <c r="D160" s="403">
        <f>SUM('July 2018'!D160:E160+'Aug. 2018'!D160:E160+'Sept. 2018'!D160:E160+'Oct. 2018'!D160:E160+'Nov. 2018'!D160:E160+'Dec. 2018'!D160:E160+'Jan. 2019'!D160:E160+'Feb. 2019'!D160:E160+'March 2019'!D160:E160+'April 2019'!D160:F160+'May 2019'!D160:E160+'June 2019'!D160:F160)</f>
        <v>1052</v>
      </c>
      <c r="E160" s="404"/>
      <c r="F160" s="127">
        <f>SUM('June 2019'!F160+'May 2019'!F160+'April 2019'!F160+'March 2019'!F160+'Feb. 2019'!F160+'Jan. 2019'!F160+'Dec. 2018'!F160+'Nov. 2018'!F160+'Oct. 2018'!F160+'Sept. 2018'!F160+'Aug. 2018'!F160+'July 2018'!F160)</f>
        <v>0</v>
      </c>
    </row>
    <row r="161" spans="2:15" ht="15" thickBot="1" x14ac:dyDescent="0.35">
      <c r="B161" s="372" t="s">
        <v>110</v>
      </c>
      <c r="C161" s="373"/>
      <c r="D161" s="403">
        <f>SUM('July 2018'!D161:F161+'Aug. 2018'!D161:F161+'Sept. 2018'!D161:F161+'Oct. 2018'!D161:F161+'Nov. 2018'!D161:F161+'Dec. 2018'!D161:F161+'Jan. 2019'!D161:F161+'Feb. 2019'!D161:F161+'March 2019'!D161:F161+'April 2019'!D161:F161+'May 2019'!D161:F161+'June 2019'!D161:F161)</f>
        <v>403</v>
      </c>
      <c r="E161" s="404"/>
      <c r="F161" s="127">
        <f>SUM('June 2019'!F161+'May 2019'!F161+'April 2019'!F161+'March 2019'!F161+'Feb. 2019'!F161+'Jan. 2019'!F161+'Dec. 2018'!F161+'Nov. 2018'!F161+'Oct. 2018'!F161+'Sept. 2018'!F161+'Aug. 2018'!F161+'July 2018'!F161)</f>
        <v>263</v>
      </c>
    </row>
    <row r="162" spans="2:15" ht="15" thickBot="1" x14ac:dyDescent="0.35">
      <c r="B162" s="372" t="s">
        <v>157</v>
      </c>
      <c r="C162" s="373"/>
      <c r="D162" s="403">
        <f>SUM('July 2018'!D162:E162+'Aug. 2018'!D162:E162+'Sept. 2018'!D162:E162+'Oct. 2018'!D162:E162+'Nov. 2018'!D162:E162+'Dec. 2018'!D162:E162+'Jan. 2019'!D162:E162+'Feb. 2019'!D162:E162+'March 2019'!D162:E162+'April 2019'!D162:F162+'May 2019'!D162:E162+'June 2019'!D162:F162)</f>
        <v>3042</v>
      </c>
      <c r="E162" s="404"/>
      <c r="F162" s="127">
        <f>SUM('June 2019'!F162+'May 2019'!F162+'April 2019'!F162+'March 2019'!F162+'Feb. 2019'!F162+'Jan. 2019'!F162+'Dec. 2018'!F162+'Nov. 2018'!F162+'Oct. 2018'!F162+'Sept. 2018'!F162+'Aug. 2018'!F162+'July 2018'!F162)</f>
        <v>0</v>
      </c>
    </row>
    <row r="163" spans="2:15" ht="21" customHeight="1" thickBot="1" x14ac:dyDescent="0.35">
      <c r="B163" s="372" t="s">
        <v>128</v>
      </c>
      <c r="C163" s="373"/>
      <c r="D163" s="403">
        <f>SUM('July 2018'!D163:E163+'Aug. 2018'!D163:E163+'Sept. 2018'!D163:E163+'Oct. 2018'!D163:E163+'Nov. 2018'!D163:E163+'Dec. 2018'!D163:E163+'Jan. 2019'!D163:E163+'Feb. 2019'!D163:E163+'March 2019'!D163:E163+'April 2019'!D163:F163+'May 2019'!D163:E163+'June 2019'!D163:F163)</f>
        <v>586</v>
      </c>
      <c r="E163" s="404"/>
      <c r="F163" s="127">
        <f>SUM('June 2019'!F163+'May 2019'!F163+'April 2019'!F163+'March 2019'!F163+'Feb. 2019'!F163+'Jan. 2019'!F163+'Dec. 2018'!F163+'Nov. 2018'!F163+'Oct. 2018'!F163+'Sept. 2018'!F163+'Aug. 2018'!F163+'July 2018'!F163)</f>
        <v>0</v>
      </c>
    </row>
    <row r="164" spans="2:15" ht="24" customHeight="1" thickBot="1" x14ac:dyDescent="0.35">
      <c r="B164" s="395" t="s">
        <v>158</v>
      </c>
      <c r="C164" s="396"/>
      <c r="D164" s="403">
        <f>SUM('July 2018'!D164:E164+'Aug. 2018'!D164:E164+'Sept. 2018'!D164:E164+'Oct. 2018'!D164:E164+'Nov. 2018'!D164:E164+'Dec. 2018'!D164:E164+'Jan. 2019'!D164:E164+'Feb. 2019'!D164:E164+'March 2019'!D164:E164+'April 2019'!D164:F164+'May 2019'!D164:E164+'June 2019'!D164:F164)</f>
        <v>1769</v>
      </c>
      <c r="E164" s="404"/>
      <c r="F164" s="127">
        <f>SUM('June 2019'!F164+'May 2019'!F164+'April 2019'!F164+'March 2019'!F164+'Feb. 2019'!F164+'Jan. 2019'!F164+'Dec. 2018'!F164+'Nov. 2018'!F164+'Oct. 2018'!F164+'Sept. 2018'!F164+'Aug. 2018'!F164+'July 2018'!F164)</f>
        <v>0</v>
      </c>
    </row>
    <row r="165" spans="2:15" ht="38.25" customHeight="1" thickBot="1" x14ac:dyDescent="0.35">
      <c r="B165" s="395" t="s">
        <v>159</v>
      </c>
      <c r="C165" s="396"/>
      <c r="D165" s="403">
        <f>SUM('July 2018'!D165:E165+'Aug. 2018'!D165:E165+'Sept. 2018'!D165:E165+'Oct. 2018'!D165:E165+'Nov. 2018'!D165:E165+'Dec. 2018'!D165:E165+'Jan. 2019'!D165:E165+'Feb. 2019'!D165:E165+'March 2019'!D165:E165+'April 2019'!D165:F165+'May 2019'!D165:E165+'June 2019'!D165:F165)</f>
        <v>19806</v>
      </c>
      <c r="E165" s="404"/>
      <c r="F165" s="127">
        <f>SUM('June 2019'!F165+'May 2019'!F165+'April 2019'!F165+'March 2019'!F165+'Feb. 2019'!F165+'Jan. 2019'!F165+'Dec. 2018'!F165+'Nov. 2018'!F165+'Oct. 2018'!F165+'Sept. 2018'!F165+'Aug. 2018'!F165+'July 2018'!F165)</f>
        <v>0</v>
      </c>
    </row>
    <row r="166" spans="2:15" ht="27" customHeight="1" thickBot="1" x14ac:dyDescent="0.35">
      <c r="B166" s="397" t="s">
        <v>160</v>
      </c>
      <c r="C166" s="398"/>
      <c r="D166" s="403">
        <f>SUM('July 2018'!D166:E166+'Aug. 2018'!D166:E166+'Sept. 2018'!D166:E166+'Oct. 2018'!D166:E166+'Nov. 2018'!D166:E166+'Dec. 2018'!D166:E166+'Jan. 2019'!D166:E166+'Feb. 2019'!D166:E166+'March 2019'!D166:E166+'April 2019'!D166:F166+'May 2019'!D166:E166+'June 2019'!D166:F166)</f>
        <v>3451</v>
      </c>
      <c r="E166" s="404"/>
      <c r="F166" s="127">
        <f>SUM('June 2019'!F166+'May 2019'!F166+'April 2019'!F166+'March 2019'!F166+'Feb. 2019'!F166+'Jan. 2019'!F166+'Dec. 2018'!F166+'Nov. 2018'!F166+'Oct. 2018'!F166+'Sept. 2018'!F166+'Aug. 2018'!F166+'July 2018'!F166)</f>
        <v>0</v>
      </c>
    </row>
    <row r="167" spans="2:15" ht="28.5" customHeight="1" thickBot="1" x14ac:dyDescent="0.35">
      <c r="B167" s="387" t="s">
        <v>161</v>
      </c>
      <c r="C167" s="388"/>
      <c r="D167" s="403">
        <f>SUM('July 2018'!D167:E167+'Aug. 2018'!D167:E167+'Sept. 2018'!D167:E167+'Oct. 2018'!D167:E167+'Nov. 2018'!D167:E167+'Dec. 2018'!D167:E167+'Jan. 2019'!D167:E167+'Feb. 2019'!D167:E167+'March 2019'!D167:E167+'April 2019'!D167:F167+'May 2019'!D167:E167+'June 2019'!D167:F167)</f>
        <v>2667</v>
      </c>
      <c r="E167" s="404"/>
      <c r="F167" s="127">
        <f>SUM('June 2019'!F167+'May 2019'!F167+'April 2019'!F167+'March 2019'!F167+'Feb. 2019'!F167+'Jan. 2019'!F167+'Dec. 2018'!F167+'Nov. 2018'!F167+'Oct. 2018'!F167+'Sept. 2018'!F167+'Aug. 2018'!F167+'July 2018'!F167)</f>
        <v>0</v>
      </c>
    </row>
    <row r="168" spans="2:15" ht="21.75" customHeight="1" thickBot="1" x14ac:dyDescent="0.35">
      <c r="B168" s="387" t="s">
        <v>162</v>
      </c>
      <c r="C168" s="388"/>
      <c r="D168" s="403">
        <f>SUM('July 2018'!D168:E168+'Aug. 2018'!D168:E168+'Sept. 2018'!D168:E168+'Oct. 2018'!D168:E168+'Nov. 2018'!D168:E168+'Dec. 2018'!D168:E168+'Jan. 2019'!D168:E168+'Feb. 2019'!D168:E168+'March 2019'!D168:E168+'April 2019'!D168:F168+'May 2019'!D168:E168+'June 2019'!D168:F168)</f>
        <v>3577</v>
      </c>
      <c r="E168" s="404"/>
      <c r="F168" s="127">
        <f>SUM('June 2019'!F168+'May 2019'!F168+'April 2019'!F168+'March 2019'!F168+'Feb. 2019'!F168+'Jan. 2019'!F168+'Dec. 2018'!F168+'Nov. 2018'!F168+'Oct. 2018'!F168+'Sept. 2018'!F168+'Aug. 2018'!F168+'July 2018'!F168)</f>
        <v>0</v>
      </c>
    </row>
    <row r="169" spans="2:15" ht="24" customHeight="1" thickBot="1" x14ac:dyDescent="0.35">
      <c r="B169" s="389" t="s">
        <v>163</v>
      </c>
      <c r="C169" s="390"/>
      <c r="D169" s="403">
        <f>SUM('July 2018'!D169:E169+'Aug. 2018'!D169:E169+'Sept. 2018'!D169:E169+'Oct. 2018'!D169:E169+'Nov. 2018'!D169:E169+'Dec. 2018'!D169:E169+'Jan. 2019'!D169:E169+'Feb. 2019'!D169:E169+'March 2019'!D169:E169+'April 2019'!D169:F169+'May 2019'!D169:E169+'June 2019'!D169:F169)</f>
        <v>13629</v>
      </c>
      <c r="E169" s="404"/>
      <c r="F169" s="127">
        <f>SUM('June 2019'!F169+'May 2019'!F169+'April 2019'!F169+'March 2019'!F169+'Feb. 2019'!F169+'Jan. 2019'!F169+'Dec. 2018'!F169+'Nov. 2018'!F169+'Oct. 2018'!F169+'Sept. 2018'!F169+'Aug. 2018'!F169+'July 2018'!F169)</f>
        <v>0</v>
      </c>
    </row>
    <row r="170" spans="2:15" ht="15" thickBot="1" x14ac:dyDescent="0.35">
      <c r="B170" s="391"/>
      <c r="C170" s="392"/>
      <c r="D170" s="403">
        <f>SUM('July 2018'!D170:E170+'Aug. 2018'!D170:E170+'Sept. 2018'!D170:E170+'Oct. 2018'!D170:E170+'Nov. 2018'!D170:E170+'Dec. 2018'!D170:E170+'Jan. 2019'!D170:E170+'Feb. 2019'!D170:E170+'March 2019'!D170:E170+'April 2019'!D170:F170+'May 2019'!D170:E170+'June 2019'!D170:F170)</f>
        <v>0</v>
      </c>
      <c r="E170" s="404"/>
      <c r="F170" s="127">
        <f>SUM('June 2019'!F170+'May 2019'!F170+'April 2019'!F170+'March 2019'!F170+'Feb. 2019'!F170+'Jan. 2019'!F170+'Dec. 2018'!F170+'Nov. 2018'!F170+'Oct. 2018'!F170+'Sept. 2018'!F170+'Aug. 2018'!F170+'July 2018'!F170)</f>
        <v>0</v>
      </c>
      <c r="L170" s="18"/>
      <c r="M170" s="17"/>
    </row>
    <row r="171" spans="2:15" ht="15" thickBot="1" x14ac:dyDescent="0.35">
      <c r="B171" s="393" t="s">
        <v>127</v>
      </c>
      <c r="C171" s="394"/>
      <c r="D171" s="403">
        <f>SUM('July 2018'!D171:E171+'Aug. 2018'!D171:E171+'Sept. 2018'!D171:E171+'Oct. 2018'!D171:E171+'Nov. 2018'!D171:E171+'Dec. 2018'!D171:E171+'Jan. 2019'!D171:E171+'Feb. 2019'!D171:E171+'March 2019'!D171:E171+'April 2019'!D171:F171+'May 2019'!D171:E171+'June 2019'!D171:F171)</f>
        <v>658</v>
      </c>
      <c r="E171" s="404"/>
      <c r="F171" s="127">
        <f>SUM('June 2019'!F171+'May 2019'!F171+'April 2019'!F171+'March 2019'!F171+'Feb. 2019'!F171+'Jan. 2019'!F171+'Dec. 2018'!F171+'Nov. 2018'!F171+'Oct. 2018'!F171+'Sept. 2018'!F171+'Aug. 2018'!F171+'July 2018'!F171)</f>
        <v>0</v>
      </c>
      <c r="K171" s="29"/>
    </row>
    <row r="172" spans="2:15" ht="15" thickBot="1" x14ac:dyDescent="0.35">
      <c r="B172" s="381" t="s">
        <v>164</v>
      </c>
      <c r="C172" s="382"/>
      <c r="D172" s="403">
        <f>SUM('July 2018'!D172:E172+'Aug. 2018'!D172:E172+'Sept. 2018'!D172:E172+'Oct. 2018'!D172:E172+'Nov. 2018'!D172:E172+'Dec. 2018'!D172:E172+'Jan. 2019'!D172:E172+'Feb. 2019'!D172:E172+'March 2019'!D172:E172+'April 2019'!D172:F172+'May 2019'!D172:E172+'June 2019'!D172:F172)</f>
        <v>2494</v>
      </c>
      <c r="E172" s="404"/>
      <c r="F172" s="127">
        <f>SUM('June 2019'!F172+'May 2019'!F172+'April 2019'!F172+'March 2019'!F172+'Feb. 2019'!F172+'Jan. 2019'!F172+'Dec. 2018'!F172+'Nov. 2018'!F172+'Oct. 2018'!F172+'Sept. 2018'!F172+'Aug. 2018'!F172+'July 2018'!F172)</f>
        <v>0</v>
      </c>
      <c r="K172" s="17"/>
    </row>
    <row r="173" spans="2:15" ht="15" thickBot="1" x14ac:dyDescent="0.35">
      <c r="B173" s="381" t="s">
        <v>116</v>
      </c>
      <c r="C173" s="382"/>
      <c r="D173" s="403">
        <f>SUM('July 2018'!D173:E173+'Aug. 2018'!D173:E173+'Sept. 2018'!D173:F173+'Oct. 2018'!D173:F173+'Nov. 2018'!D173:F173+'Dec. 2018'!D173:F173+'Jan. 2019'!D173:E173+'Feb. 2019'!D173:F173+'March 2019'!D173:F173+'April 2019'!D173:F173+'May 2019'!D173:E173+'June 2019'!D173:F173)</f>
        <v>0</v>
      </c>
      <c r="E173" s="404"/>
      <c r="F173" s="127">
        <f>SUM('June 2019'!F173+'May 2019'!F173+'April 2019'!F173+'March 2019'!F173+'Feb. 2019'!F173+'Jan. 2019'!F173+'Dec. 2018'!F173+'Nov. 2018'!F173+'Oct. 2018'!F173+'Sept. 2018'!F173+'Aug. 2018'!F173+'July 2018'!F173)</f>
        <v>1815</v>
      </c>
    </row>
    <row r="174" spans="2:15" ht="15" thickBot="1" x14ac:dyDescent="0.35">
      <c r="B174" s="383" t="s">
        <v>165</v>
      </c>
      <c r="C174" s="384"/>
      <c r="D174" s="403">
        <f>SUM('July 2018'!D174:E174+'Aug. 2018'!D174:E174+'Sept. 2018'!D174:E174+'Oct. 2018'!D174:E174+'Nov. 2018'!D174:E174+'Dec. 2018'!D174:E174+'Jan. 2019'!D174:E174+'Feb. 2019'!D174:E174+'March 2019'!D174:E174+'April 2019'!D174:E174+'May 2019'!D174:E174+'June 2019'!D174:F174)</f>
        <v>0</v>
      </c>
      <c r="E174" s="404"/>
      <c r="F174" s="127">
        <f>SUM('June 2019'!F174+'May 2019'!F174+'April 2019'!F174+'March 2019'!F174+'Feb. 2019'!F174+'Jan. 2019'!F174+'Dec. 2018'!F174+'Nov. 2018'!F174+'Oct. 2018'!F174+'Sept. 2018'!F174+'Aug. 2018'!F174+'July 2018'!F174)</f>
        <v>0</v>
      </c>
      <c r="G174" t="s">
        <v>220</v>
      </c>
    </row>
    <row r="175" spans="2:15" ht="15" thickTop="1" x14ac:dyDescent="0.3">
      <c r="B175" s="164" t="s">
        <v>166</v>
      </c>
      <c r="C175" s="165"/>
      <c r="D175" s="343">
        <f>SUM(D152:E174)</f>
        <v>165785</v>
      </c>
      <c r="E175" s="344"/>
      <c r="F175" s="184">
        <f>SUM(F152:F174)</f>
        <v>2092</v>
      </c>
      <c r="L175" s="12"/>
      <c r="M175" s="10"/>
      <c r="N175" s="10"/>
      <c r="O175" s="57"/>
    </row>
    <row r="176" spans="2:15" x14ac:dyDescent="0.3">
      <c r="D176" s="17"/>
      <c r="M176" s="54"/>
      <c r="N176" s="58"/>
    </row>
    <row r="177" spans="1:14" x14ac:dyDescent="0.3">
      <c r="C177" s="6" t="s">
        <v>107</v>
      </c>
      <c r="D177" s="7"/>
      <c r="E177" s="126" t="s">
        <v>108</v>
      </c>
      <c r="F177" s="337" t="s">
        <v>109</v>
      </c>
      <c r="G177" s="338"/>
      <c r="L177" s="54"/>
      <c r="M177" s="54"/>
      <c r="N177" s="58"/>
    </row>
    <row r="178" spans="1:14" x14ac:dyDescent="0.3">
      <c r="C178" s="38" t="s">
        <v>110</v>
      </c>
      <c r="D178" s="152"/>
      <c r="E178" s="127">
        <f>SUM('June 2019'!E178+'May 2019'!E178+'April 2019'!E178+'March 2019'!E178+'Feb. 2019'!E178+'Jan. 2019'!E178+'Dec. 2018'!E178+'Nov. 2018'!E178+'Oct. 2018'!E178+'Sept. 2018'!E178+'Aug. 2018'!E178+'July 2018'!E178)</f>
        <v>403</v>
      </c>
      <c r="F178" s="127">
        <f>SUM('June 2019'!F178+'May 2019'!F178+'April 2019'!F178+'March 2019'!F178+'Feb. 2019'!F178+'Jan. 2019'!F178+'Dec. 2018'!F178+'Nov. 2018'!F178+'Oct. 2018'!F178+'Sept. 2018'!F178+'Aug. 2018'!F178+'July 2018'!F178)</f>
        <v>263</v>
      </c>
      <c r="G178" s="127">
        <f>SUM('June 2019'!G178+'May 2019'!G178+'April 2019'!G178+'March 2019'!G178+'Feb. 2019'!G178+'Jan. 2019'!G178+'Dec. 2018'!G178+'Nov. 2018'!G178+'Oct. 2018'!G178+'Sept. 2018'!G178+'Aug. 2018'!G178+'July 2018'!G178)</f>
        <v>0</v>
      </c>
      <c r="L178" s="54"/>
      <c r="M178" s="54"/>
      <c r="N178" s="58"/>
    </row>
    <row r="179" spans="1:14" x14ac:dyDescent="0.3">
      <c r="L179" s="54"/>
      <c r="M179" s="54"/>
      <c r="N179" s="58"/>
    </row>
    <row r="180" spans="1:14" x14ac:dyDescent="0.3">
      <c r="C180" s="19" t="s">
        <v>111</v>
      </c>
      <c r="D180" s="186"/>
      <c r="E180" s="141" t="s">
        <v>108</v>
      </c>
      <c r="F180" s="141" t="s">
        <v>112</v>
      </c>
      <c r="K180" s="54"/>
      <c r="L180" s="54"/>
      <c r="M180" s="58"/>
    </row>
    <row r="181" spans="1:14" x14ac:dyDescent="0.3">
      <c r="C181" s="345" t="s">
        <v>113</v>
      </c>
      <c r="D181" s="346"/>
      <c r="E181" s="324">
        <f>SUM('June 2019'!E181+'May 2019'!E181+'April 2019'!E181+'March 2019'!E181+'Feb. 2019'!E181+'Jan. 2019'!E181+'Dec. 2018'!E181+'Nov. 2018'!E181+'Oct. 2018'!E181+'Sept. 2018'!E181+'Aug. 2018'!E181+'July 2018'!E181)</f>
        <v>47551</v>
      </c>
      <c r="F181" s="127">
        <f>SUM('June 2019'!F181+'May 2019'!F181+'April 2019'!F181+'March 2019'!F181+'Feb. 2019'!F181+'Jan. 2019'!F181+'Dec. 2018'!F181+'Nov. 2018'!F181+'Oct. 2018'!F181+'Sept. 2018'!F181+'Aug. 2018'!F181+'July 2018'!F181)</f>
        <v>0</v>
      </c>
      <c r="I181" s="29"/>
      <c r="J181" s="29"/>
      <c r="K181" s="54"/>
      <c r="L181" s="54"/>
      <c r="M181" s="58"/>
    </row>
    <row r="182" spans="1:14" x14ac:dyDescent="0.3">
      <c r="C182" s="345" t="s">
        <v>114</v>
      </c>
      <c r="D182" s="346"/>
      <c r="E182" s="324">
        <f>SUM('June 2019'!E182+'May 2019'!E182+'April 2019'!E182+'March 2019'!E182+'Feb. 2019'!E182+'Jan. 2019'!E182+'Dec. 2018'!E182+'Nov. 2018'!E182+'Oct. 2018'!E182+'Sept. 2018'!E182+'Aug. 2018'!E182+'July 2018'!E182)</f>
        <v>43132</v>
      </c>
      <c r="F182" s="127">
        <f>SUM('June 2019'!F182+'May 2019'!F182+'April 2019'!F182+'March 2019'!F182+'Feb. 2019'!F182+'Jan. 2019'!F182+'Dec. 2018'!F182+'Nov. 2018'!F182+'Oct. 2018'!F182+'Sept. 2018'!F182+'Aug. 2018'!F182+'July 2018'!F182)</f>
        <v>0</v>
      </c>
      <c r="K182" s="54"/>
      <c r="L182" s="54"/>
      <c r="M182" s="58"/>
    </row>
    <row r="183" spans="1:14" x14ac:dyDescent="0.3">
      <c r="C183" s="345" t="s">
        <v>115</v>
      </c>
      <c r="D183" s="346"/>
      <c r="E183" s="324">
        <f>SUM('June 2019'!E183+'May 2019'!E183+'April 2019'!E183+'March 2019'!E183+'Feb. 2019'!E183+'Jan. 2019'!E183+'Dec. 2018'!E183+'Nov. 2018'!E183+'Oct. 2018'!E183+'Sept. 2018'!E183+'Aug. 2018'!E183+'July 2018'!E183)</f>
        <v>2494</v>
      </c>
      <c r="F183" s="127">
        <f>SUM('June 2019'!F183+'May 2019'!F183+'April 2019'!F183+'March 2019'!F183+'Feb. 2019'!F183+'Jan. 2019'!F183+'Dec. 2018'!F183+'Nov. 2018'!F183+'Oct. 2018'!F183+'Sept. 2018'!F183+'Aug. 2018'!F183+'July 2018'!F183)</f>
        <v>0</v>
      </c>
      <c r="I183" s="58"/>
      <c r="J183" s="58"/>
      <c r="K183" s="54"/>
      <c r="L183" s="54"/>
      <c r="M183" s="58"/>
    </row>
    <row r="184" spans="1:14" x14ac:dyDescent="0.3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1:14" x14ac:dyDescent="0.3">
      <c r="B185" s="121" t="s">
        <v>175</v>
      </c>
      <c r="C185" s="146"/>
    </row>
    <row r="186" spans="1:14" x14ac:dyDescent="0.3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1:14" x14ac:dyDescent="0.3">
      <c r="C187" s="13" t="s">
        <v>131</v>
      </c>
      <c r="D187" s="127">
        <f>SUM('June 2019'!D187+'May 2019'!D187+'April 2019'!D187+'March 2019'!D187+'Feb. 2019'!D187+'Jan. 2019'!D187+'Dec. 2018'!D187+'Nov. 2018'!D187+'Oct. 2018'!D187+'Sept. 2018'!D187+'Aug. 2018'!D187+'July 2018'!D187)</f>
        <v>774</v>
      </c>
      <c r="E187" s="127">
        <f>SUM('June 2019'!E187+'May 2019'!E187+'April 2019'!E187+'March 2019'!E187+'Feb. 2019'!E187+'Jan. 2019'!E187+'Dec. 2018'!E187+'Nov. 2018'!E187+'Oct. 2018'!E187+'Sept. 2018'!E187+'Aug. 2018'!E187+'July 2018'!E187)</f>
        <v>623</v>
      </c>
      <c r="F187" s="127">
        <f>SUM('June 2019'!F187+'May 2019'!F187+'April 2019'!F187+'March 2019'!F187+'Feb. 2019'!F187+'Jan. 2019'!F187+'Dec. 2018'!F187+'Nov. 2018'!F187+'Oct. 2018'!F187+'Sept. 2018'!F187+'Aug. 2018'!F187+'July 2018'!F187)</f>
        <v>4367</v>
      </c>
      <c r="G187" s="127">
        <f>SUM('June 2019'!G187+'May 2019'!G187+'April 2019'!G187+'March 2019'!G187+'Feb. 2019'!G187+'Jan. 2019'!G187+'Dec. 2018'!G187+'Nov. 2018'!G187+'Oct. 2018'!G187+'Sept. 2018'!G187+'Aug. 2018'!G187+'July 2018'!G187)</f>
        <v>3012</v>
      </c>
      <c r="H187" s="127">
        <f>SUM('June 2019'!H187+'May 2019'!H187+'April 2019'!H187+'March 2019'!H187+'Feb. 2019'!H187+'Jan. 2019'!H187+'Dec. 2018'!H187+'Nov. 2018'!H187+'Oct. 2018'!H187+'Sept. 2018'!H187+'Aug. 2018'!H187+'July 2018'!H187)</f>
        <v>1907</v>
      </c>
      <c r="I187" s="127">
        <f>SUM('June 2019'!I187+'May 2019'!I187+'April 2019'!I187+'March 2019'!I187+'Feb. 2019'!I187+'Jan. 2019'!I187+'Dec. 2018'!I187+'Nov. 2018'!I187+'Oct. 2018'!I187+'Sept. 2018'!I187+'Aug. 2018'!I187+'July 2018'!I187)</f>
        <v>5</v>
      </c>
      <c r="J187" s="127">
        <f>SUM('June 2019'!J187+'May 2019'!J187+'April 2019'!J187+'March 2019'!J187+'Feb. 2019'!J187+'Jan. 2019'!J187+'Dec. 2018'!J187+'Nov. 2018'!J187+'Oct. 2018'!J187+'Sept. 2018'!J187+'Aug. 2018'!J187+'July 2018'!J187)</f>
        <v>708</v>
      </c>
      <c r="K187" s="127">
        <f>SUM('June 2019'!K187+'May 2019'!K187+'April 2019'!K187+'March 2019'!K187+'Feb. 2019'!K187+'Jan. 2019'!K187+'Dec. 2018'!K187+'Nov. 2018'!K187+'Oct. 2018'!K187+'Sept. 2018'!K187+'Aug. 2018'!K187+'July 2018'!K187)</f>
        <v>1862</v>
      </c>
      <c r="L187" s="127">
        <f>SUM('June 2019'!L187+'May 2019'!L187+'April 2019'!L187+'March 2019'!L187+'Feb. 2019'!L187+'Jan. 2019'!L187+'Dec. 2018'!L187+'Nov. 2018'!L187+'Oct. 2018'!L187+'Sept. 2018'!L187+'Aug. 2018'!L187+'July 2018'!L187)</f>
        <v>2906</v>
      </c>
      <c r="M187" s="177">
        <f>SUM(D187:L187)</f>
        <v>16164</v>
      </c>
    </row>
    <row r="188" spans="1:14" x14ac:dyDescent="0.3">
      <c r="C188" s="38" t="s">
        <v>21</v>
      </c>
      <c r="D188" s="126" t="s">
        <v>126</v>
      </c>
      <c r="E188" s="126" t="s">
        <v>126</v>
      </c>
      <c r="F188" s="127" t="s">
        <v>126</v>
      </c>
      <c r="G188" s="127">
        <f>SUM('June 2019'!G188+'May 2019'!G188+'April 2019'!G188+'March 2019'!G188+'Feb. 2019'!G188+'Jan. 2019'!G188+'Dec. 2018'!G188+'Nov. 2018'!G188+'Oct. 2018'!G188+'Sept. 2018'!G188+'Aug. 2018'!G188+'July 2018'!G188)</f>
        <v>1077</v>
      </c>
      <c r="H188" s="126" t="s">
        <v>126</v>
      </c>
      <c r="I188" s="126" t="s">
        <v>126</v>
      </c>
      <c r="J188" s="126" t="s">
        <v>126</v>
      </c>
      <c r="K188" s="127">
        <f>SUM('June 2019'!K188+'May 2019'!K188+'April 2019'!K188+'March 2019'!K188+'Feb. 2019'!K188+'Jan. 2019'!K188+'Dec. 2018'!K188+'Nov. 2018'!K188+'Oct. 2018'!K188+'Sept. 2018'!K188+'Aug. 2018'!K188+'July 2018'!K188)</f>
        <v>1701</v>
      </c>
      <c r="L188" s="127">
        <f>SUM('June 2019'!L188+'May 2019'!L188+'April 2019'!L188+'March 2019'!L188+'Feb. 2019'!L188+'Jan. 2019'!L188+'Dec. 2018'!L188+'Nov. 2018'!L188+'Oct. 2018'!L188+'Sept. 2018'!L188+'Aug. 2018'!L188+'July 2018'!L188)</f>
        <v>2166</v>
      </c>
      <c r="M188" s="177">
        <f t="shared" ref="M188:M190" si="10">SUM(D188:L188)</f>
        <v>4944</v>
      </c>
    </row>
    <row r="189" spans="1:14" ht="15" thickBot="1" x14ac:dyDescent="0.35">
      <c r="C189" s="38" t="s">
        <v>132</v>
      </c>
      <c r="D189" s="127">
        <f>SUM('June 2019'!D189+'May 2019'!D189+'April 2019'!D189+'March 2019'!D189+'Feb. 2019'!D189+'Jan. 2019'!D189+'Dec. 2018'!D189+'Nov. 2018'!D189+'Oct. 2018'!D189+'Sept. 2018'!D189+'Aug. 2018'!D189+'July 2018'!D189)</f>
        <v>0</v>
      </c>
      <c r="E189" s="127">
        <f>SUM('June 2019'!E189+'May 2019'!E189+'April 2019'!E189+'March 2019'!E189+'Feb. 2019'!E189+'Jan. 2019'!E189+'Dec. 2018'!E189+'Nov. 2018'!E189+'Oct. 2018'!E189+'Sept. 2018'!E189+'Aug. 2018'!E189+'July 2018'!E189)</f>
        <v>2</v>
      </c>
      <c r="F189" s="127">
        <f>SUM('June 2019'!F189+'May 2019'!F189+'April 2019'!F189+'March 2019'!F189+'Feb. 2019'!F189+'Jan. 2019'!F189+'Dec. 2018'!F189+'Nov. 2018'!F189+'Oct. 2018'!F189+'Sept. 2018'!F189+'Aug. 2018'!F189+'July 2018'!F189)</f>
        <v>2</v>
      </c>
      <c r="G189" s="127">
        <f>SUM('June 2019'!G189+'May 2019'!G189+'April 2019'!G189+'March 2019'!G189+'Feb. 2019'!G189+'Jan. 2019'!G189+'Dec. 2018'!G189+'Nov. 2018'!G189+'Oct. 2018'!G189+'Sept. 2018'!G189+'Aug. 2018'!G189+'July 2018'!G189)</f>
        <v>20</v>
      </c>
      <c r="H189" s="127">
        <f>SUM('June 2019'!H189+'May 2019'!H189+'April 2019'!H189+'March 2019'!H189+'Feb. 2019'!H189+'Jan. 2019'!H189+'Dec. 2018'!H189+'Nov. 2018'!H189+'Oct. 2018'!H189+'Sept. 2018'!H189+'Aug. 2018'!H189+'July 2018'!H189)</f>
        <v>0</v>
      </c>
      <c r="I189" s="127">
        <f>SUM('June 2019'!I189+'May 2019'!I189+'April 2019'!I189+'March 2019'!I189+'Feb. 2019'!I189+'Jan. 2019'!I189+'Dec. 2018'!I189+'Nov. 2018'!I189+'Oct. 2018'!I189+'Sept. 2018'!I189+'Aug. 2018'!I189+'July 2018'!I189)</f>
        <v>3</v>
      </c>
      <c r="J189" s="128" t="s">
        <v>126</v>
      </c>
      <c r="K189" s="127">
        <f>SUM('June 2019'!K189+'May 2019'!K189+'April 2019'!K189+'March 2019'!K189+'Feb. 2019'!K189+'Jan. 2019'!K189+'Dec. 2018'!K189+'Nov. 2018'!K189+'Oct. 2018'!K189+'Sept. 2018'!K189+'Aug. 2018'!K189+'July 2018'!K189)</f>
        <v>8</v>
      </c>
      <c r="L189" s="127">
        <f>SUM('June 2019'!L189+'May 2019'!L189+'April 2019'!L189+'March 2019'!L189+'Feb. 2019'!L189+'Jan. 2019'!L189+'Dec. 2018'!L189+'Nov. 2018'!L189+'Oct. 2018'!L189+'Sept. 2018'!L189+'Aug. 2018'!L189+'July 2018'!L189)</f>
        <v>147</v>
      </c>
      <c r="M189" s="177">
        <f t="shared" si="10"/>
        <v>182</v>
      </c>
    </row>
    <row r="190" spans="1:14" ht="15" thickTop="1" x14ac:dyDescent="0.3">
      <c r="C190" s="38" t="s">
        <v>12</v>
      </c>
      <c r="D190" s="143">
        <f>SUM(D187:D189)</f>
        <v>774</v>
      </c>
      <c r="E190" s="143">
        <f>SUM(E187:E189)</f>
        <v>625</v>
      </c>
      <c r="F190" s="143">
        <f t="shared" ref="F190:L190" si="11">SUM(F187:F189)</f>
        <v>4369</v>
      </c>
      <c r="G190" s="143">
        <f t="shared" si="11"/>
        <v>4109</v>
      </c>
      <c r="H190" s="177">
        <f t="shared" si="11"/>
        <v>1907</v>
      </c>
      <c r="I190" s="143">
        <f t="shared" si="11"/>
        <v>8</v>
      </c>
      <c r="J190" s="143">
        <f t="shared" si="11"/>
        <v>708</v>
      </c>
      <c r="K190" s="143">
        <f t="shared" si="11"/>
        <v>3571</v>
      </c>
      <c r="L190" s="177">
        <f t="shared" si="11"/>
        <v>5219</v>
      </c>
      <c r="M190" s="177">
        <f t="shared" si="10"/>
        <v>21290</v>
      </c>
    </row>
    <row r="191" spans="1:14" x14ac:dyDescent="0.3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1:14" x14ac:dyDescent="0.3">
      <c r="A192" s="432" t="s">
        <v>461</v>
      </c>
      <c r="B192" s="432"/>
      <c r="C192" s="433"/>
      <c r="D192" s="127">
        <v>13</v>
      </c>
      <c r="E192" s="126">
        <v>4</v>
      </c>
      <c r="F192" s="127">
        <v>19</v>
      </c>
      <c r="G192" s="127">
        <v>19</v>
      </c>
      <c r="H192" s="127">
        <v>12</v>
      </c>
      <c r="I192" s="126">
        <v>2</v>
      </c>
      <c r="J192" s="126">
        <v>4</v>
      </c>
      <c r="K192" s="126">
        <v>21</v>
      </c>
      <c r="L192" s="126">
        <v>21</v>
      </c>
      <c r="M192" s="127">
        <f>SUM(D192:L192)</f>
        <v>115</v>
      </c>
    </row>
    <row r="193" spans="3:13" x14ac:dyDescent="0.3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3:13" ht="17.399999999999999" x14ac:dyDescent="0.3">
      <c r="D194" s="55"/>
      <c r="G194" s="60"/>
      <c r="H194" s="5"/>
      <c r="I194" s="61"/>
      <c r="J194" s="61"/>
      <c r="K194" s="5"/>
    </row>
    <row r="218" spans="2:14" x14ac:dyDescent="0.3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1">
    <mergeCell ref="A192:C192"/>
    <mergeCell ref="B95:C95"/>
    <mergeCell ref="B23:C23"/>
    <mergeCell ref="B24:C24"/>
    <mergeCell ref="B63:C63"/>
    <mergeCell ref="B64:C64"/>
    <mergeCell ref="B66:C66"/>
    <mergeCell ref="B67:C67"/>
    <mergeCell ref="B96:C96"/>
    <mergeCell ref="B99:C99"/>
    <mergeCell ref="B153:C153"/>
    <mergeCell ref="B156:C156"/>
    <mergeCell ref="B159:C159"/>
    <mergeCell ref="B162:C162"/>
    <mergeCell ref="B165:C165"/>
    <mergeCell ref="C181:D181"/>
    <mergeCell ref="D67:E67"/>
    <mergeCell ref="H67:J67"/>
    <mergeCell ref="K67:M67"/>
    <mergeCell ref="B87:C87"/>
    <mergeCell ref="B88:C88"/>
    <mergeCell ref="M101:M103"/>
    <mergeCell ref="B104:C104"/>
    <mergeCell ref="B151:C151"/>
    <mergeCell ref="D151:E151"/>
    <mergeCell ref="B152:C152"/>
    <mergeCell ref="D152:E152"/>
    <mergeCell ref="G152:I152"/>
    <mergeCell ref="D153:E153"/>
    <mergeCell ref="B154:C154"/>
    <mergeCell ref="D154:E154"/>
    <mergeCell ref="B155:C155"/>
    <mergeCell ref="D155:E155"/>
    <mergeCell ref="D156:E156"/>
    <mergeCell ref="B157:C157"/>
    <mergeCell ref="D157:E157"/>
    <mergeCell ref="B158:C158"/>
    <mergeCell ref="D158:E158"/>
    <mergeCell ref="D159:E159"/>
    <mergeCell ref="B160:C160"/>
    <mergeCell ref="D160:E160"/>
    <mergeCell ref="B161:C161"/>
    <mergeCell ref="D161:E161"/>
    <mergeCell ref="D162:E162"/>
    <mergeCell ref="B163:C163"/>
    <mergeCell ref="D163:E163"/>
    <mergeCell ref="B164:C164"/>
    <mergeCell ref="D164:E164"/>
    <mergeCell ref="D165:E165"/>
    <mergeCell ref="B166:C166"/>
    <mergeCell ref="D166:E166"/>
    <mergeCell ref="D175:E175"/>
    <mergeCell ref="B167:C167"/>
    <mergeCell ref="D167:E167"/>
    <mergeCell ref="B168:C168"/>
    <mergeCell ref="D168:E168"/>
    <mergeCell ref="B169:C169"/>
    <mergeCell ref="D169:E169"/>
    <mergeCell ref="C182:D182"/>
    <mergeCell ref="C183:D183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</mergeCells>
  <pageMargins left="0.7" right="0.7" top="0.75" bottom="0.75" header="0.3" footer="0.3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July 2018</vt:lpstr>
      <vt:lpstr>Aug. 2018</vt:lpstr>
      <vt:lpstr>Sept. 2018</vt:lpstr>
      <vt:lpstr>Oct. 2018</vt:lpstr>
      <vt:lpstr>Nov. 2018</vt:lpstr>
      <vt:lpstr>Dec. 2018</vt:lpstr>
      <vt:lpstr>Jan. 2019</vt:lpstr>
      <vt:lpstr>Feb. 2019</vt:lpstr>
      <vt:lpstr>March 2019</vt:lpstr>
      <vt:lpstr>April 2019</vt:lpstr>
      <vt:lpstr>May 2019</vt:lpstr>
      <vt:lpstr>June 2019</vt:lpstr>
      <vt:lpstr>Total</vt:lpstr>
      <vt:lpstr>'July 2018'!Print_Area</vt:lpstr>
    </vt:vector>
  </TitlesOfParts>
  <Company>Northland Pioneer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Brimhall, Daphne</dc:creator>
  <cp:lastModifiedBy>Northland Pioneer College</cp:lastModifiedBy>
  <cp:lastPrinted>2019-07-09T15:49:23Z</cp:lastPrinted>
  <dcterms:created xsi:type="dcterms:W3CDTF">2017-08-11T21:28:47Z</dcterms:created>
  <dcterms:modified xsi:type="dcterms:W3CDTF">2019-07-25T19:05:46Z</dcterms:modified>
</cp:coreProperties>
</file>