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9420" windowHeight="4935" tabRatio="860" firstSheet="1" activeTab="12"/>
  </bookViews>
  <sheets>
    <sheet name="July 2016" sheetId="25" r:id="rId1"/>
    <sheet name="Aug 2016" sheetId="15" r:id="rId2"/>
    <sheet name="Sept 2016" sheetId="3" r:id="rId3"/>
    <sheet name="Oct. 2016" sheetId="16" r:id="rId4"/>
    <sheet name="Nov. 2016" sheetId="17" r:id="rId5"/>
    <sheet name="Dec. 2016" sheetId="18" r:id="rId6"/>
    <sheet name="Jan. 2017" sheetId="19" r:id="rId7"/>
    <sheet name="Feb. 2017" sheetId="20" r:id="rId8"/>
    <sheet name="March 2017" sheetId="22" r:id="rId9"/>
    <sheet name="April 2017" sheetId="23" r:id="rId10"/>
    <sheet name="May 2017" sheetId="21" r:id="rId11"/>
    <sheet name="June 2017" sheetId="24" r:id="rId12"/>
    <sheet name="Total 2016-2017" sheetId="14" r:id="rId13"/>
  </sheets>
  <calcPr calcId="145621"/>
</workbook>
</file>

<file path=xl/calcChain.xml><?xml version="1.0" encoding="utf-8"?>
<calcChain xmlns="http://schemas.openxmlformats.org/spreadsheetml/2006/main">
  <c r="C76" i="15" l="1"/>
  <c r="C76" i="14"/>
  <c r="D10" i="21" l="1"/>
  <c r="M9" i="23"/>
  <c r="M9" i="22"/>
  <c r="D10" i="20"/>
  <c r="M9" i="20"/>
  <c r="M9" i="19"/>
  <c r="D10" i="18"/>
  <c r="M9" i="18"/>
  <c r="K10" i="17"/>
  <c r="H10" i="17"/>
  <c r="D10" i="16"/>
  <c r="D10" i="3"/>
  <c r="M9" i="15"/>
  <c r="M122" i="25"/>
  <c r="H10" i="25"/>
  <c r="M9" i="25"/>
  <c r="E76" i="15" l="1"/>
  <c r="D10" i="24" l="1"/>
  <c r="E10" i="24"/>
  <c r="F10" i="24"/>
  <c r="G10" i="24"/>
  <c r="H10" i="24"/>
  <c r="I10" i="24"/>
  <c r="J10" i="24"/>
  <c r="K10" i="24"/>
  <c r="L10" i="24"/>
  <c r="D137" i="15" l="1"/>
  <c r="E137" i="15"/>
  <c r="F137" i="15"/>
  <c r="G137" i="15"/>
  <c r="H137" i="15"/>
  <c r="I137" i="15"/>
  <c r="J137" i="15"/>
  <c r="K137" i="15"/>
  <c r="L137" i="15"/>
  <c r="C137" i="15"/>
  <c r="D40" i="15"/>
  <c r="E40" i="15"/>
  <c r="F40" i="15"/>
  <c r="G40" i="15"/>
  <c r="H40" i="15"/>
  <c r="I40" i="15"/>
  <c r="J40" i="15"/>
  <c r="K40" i="15"/>
  <c r="L40" i="15"/>
  <c r="C40" i="15"/>
  <c r="D36" i="15"/>
  <c r="F36" i="15"/>
  <c r="G36" i="15"/>
  <c r="H36" i="15"/>
  <c r="I36" i="15"/>
  <c r="J36" i="15"/>
  <c r="K36" i="15"/>
  <c r="D24" i="15"/>
  <c r="E24" i="15"/>
  <c r="F24" i="15"/>
  <c r="G24" i="15"/>
  <c r="H24" i="15"/>
  <c r="I24" i="15"/>
  <c r="J24" i="15"/>
  <c r="K24" i="15"/>
  <c r="L24" i="15"/>
  <c r="C24" i="15"/>
  <c r="D10" i="15"/>
  <c r="E10" i="15"/>
  <c r="F10" i="15"/>
  <c r="G10" i="15"/>
  <c r="H10" i="15"/>
  <c r="I10" i="15"/>
  <c r="J10" i="15"/>
  <c r="K10" i="15"/>
  <c r="L10" i="15"/>
  <c r="C10" i="15"/>
  <c r="L32" i="14"/>
  <c r="L33" i="14"/>
  <c r="L34" i="14"/>
  <c r="L31" i="14"/>
  <c r="D36" i="14"/>
  <c r="F36" i="14"/>
  <c r="G36" i="14"/>
  <c r="H36" i="14"/>
  <c r="I36" i="14"/>
  <c r="J36" i="14"/>
  <c r="K36" i="14"/>
  <c r="D24" i="14"/>
  <c r="E24" i="14"/>
  <c r="F24" i="14"/>
  <c r="G24" i="14"/>
  <c r="H24" i="14"/>
  <c r="I24" i="14"/>
  <c r="J24" i="14"/>
  <c r="K24" i="14"/>
  <c r="L24" i="14"/>
  <c r="C24" i="14"/>
  <c r="D10" i="14"/>
  <c r="E10" i="14"/>
  <c r="F10" i="14"/>
  <c r="G10" i="14"/>
  <c r="H10" i="14"/>
  <c r="I10" i="14"/>
  <c r="J10" i="14"/>
  <c r="K10" i="14"/>
  <c r="L10" i="14"/>
  <c r="M10" i="14"/>
  <c r="C10" i="14"/>
  <c r="M10" i="17" l="1"/>
  <c r="M10" i="24"/>
  <c r="C10" i="24"/>
  <c r="M10" i="21"/>
  <c r="K10" i="21"/>
  <c r="J10" i="21"/>
  <c r="G10" i="21"/>
  <c r="F10" i="21"/>
  <c r="E10" i="21"/>
  <c r="C10" i="21"/>
  <c r="M10" i="23"/>
  <c r="K10" i="23"/>
  <c r="J10" i="23"/>
  <c r="G10" i="23"/>
  <c r="F10" i="23"/>
  <c r="E10" i="23"/>
  <c r="D10" i="23"/>
  <c r="C10" i="23"/>
  <c r="M10" i="22"/>
  <c r="K10" i="22"/>
  <c r="J10" i="22"/>
  <c r="I10" i="22"/>
  <c r="H10" i="22"/>
  <c r="G10" i="22"/>
  <c r="F10" i="22"/>
  <c r="E10" i="22"/>
  <c r="D10" i="22"/>
  <c r="C10" i="22"/>
  <c r="L10" i="22"/>
  <c r="M10" i="20"/>
  <c r="K10" i="20"/>
  <c r="J10" i="20"/>
  <c r="G10" i="20"/>
  <c r="F10" i="20"/>
  <c r="E10" i="20"/>
  <c r="C10" i="20"/>
  <c r="M10" i="19"/>
  <c r="K10" i="19"/>
  <c r="J10" i="19"/>
  <c r="G10" i="19"/>
  <c r="F10" i="19"/>
  <c r="E10" i="19"/>
  <c r="D10" i="19"/>
  <c r="C10" i="19"/>
  <c r="M10" i="18"/>
  <c r="K10" i="18"/>
  <c r="J10" i="18"/>
  <c r="G10" i="18"/>
  <c r="F10" i="18"/>
  <c r="E10" i="18"/>
  <c r="E10" i="17"/>
  <c r="C10" i="17"/>
  <c r="J10" i="17"/>
  <c r="I10" i="17"/>
  <c r="G10" i="17"/>
  <c r="F10" i="17"/>
  <c r="D10" i="17"/>
  <c r="L10" i="17"/>
  <c r="M10" i="16"/>
  <c r="K10" i="16"/>
  <c r="J10" i="16"/>
  <c r="I10" i="16"/>
  <c r="H10" i="16"/>
  <c r="G10" i="16"/>
  <c r="F10" i="16"/>
  <c r="E10" i="16"/>
  <c r="C10" i="16"/>
  <c r="M10" i="3"/>
  <c r="L10" i="3"/>
  <c r="K10" i="3"/>
  <c r="J10" i="3"/>
  <c r="I10" i="3"/>
  <c r="H10" i="3"/>
  <c r="G10" i="3"/>
  <c r="F10" i="3"/>
  <c r="E10" i="3"/>
  <c r="C10" i="3"/>
  <c r="M10" i="15"/>
  <c r="M10" i="25"/>
  <c r="K10" i="25"/>
  <c r="J10" i="25"/>
  <c r="I10" i="25"/>
  <c r="G10" i="25"/>
  <c r="F10" i="25"/>
  <c r="E10" i="25"/>
  <c r="D10" i="25"/>
  <c r="C10" i="25"/>
  <c r="M9" i="3"/>
  <c r="M8" i="3"/>
  <c r="M7" i="3"/>
  <c r="M9" i="14" l="1"/>
  <c r="M8" i="14"/>
  <c r="M7" i="14"/>
  <c r="K104" i="14" l="1"/>
  <c r="E120" i="14"/>
  <c r="E108" i="14"/>
  <c r="L82" i="14" l="1"/>
  <c r="H82" i="14"/>
  <c r="F82" i="14"/>
  <c r="E82" i="14"/>
  <c r="C82" i="14"/>
  <c r="L82" i="21"/>
  <c r="L82" i="24"/>
  <c r="F82" i="24"/>
  <c r="E82" i="24"/>
  <c r="E82" i="21"/>
  <c r="F82" i="21"/>
  <c r="C82" i="24"/>
  <c r="H82" i="24"/>
  <c r="H34" i="24" l="1"/>
  <c r="C34" i="24"/>
  <c r="J34" i="24" l="1"/>
  <c r="F34" i="24" l="1"/>
  <c r="G91" i="24" l="1"/>
  <c r="G92" i="24"/>
  <c r="G94" i="24"/>
  <c r="C96" i="24"/>
  <c r="C98" i="24"/>
  <c r="C97" i="24"/>
  <c r="C95" i="24"/>
  <c r="C94" i="24"/>
  <c r="C102" i="24"/>
  <c r="D34" i="24"/>
  <c r="E34" i="24" l="1"/>
  <c r="G35" i="24" l="1"/>
  <c r="K34" i="24"/>
  <c r="G34" i="24"/>
  <c r="L104" i="14" l="1"/>
  <c r="D34" i="21" l="1"/>
  <c r="K34" i="21" l="1"/>
  <c r="J34" i="21"/>
  <c r="G91" i="21" l="1"/>
  <c r="G92" i="21"/>
  <c r="G93" i="21"/>
  <c r="G94" i="21"/>
  <c r="C102" i="21"/>
  <c r="C96" i="21"/>
  <c r="C98" i="21"/>
  <c r="C97" i="21"/>
  <c r="C95" i="21"/>
  <c r="C94" i="21"/>
  <c r="C93" i="21"/>
  <c r="C91" i="21"/>
  <c r="C82" i="21"/>
  <c r="H82" i="21"/>
  <c r="K134" i="21"/>
  <c r="J135" i="21"/>
  <c r="J134" i="21"/>
  <c r="I134" i="21"/>
  <c r="G134" i="21"/>
  <c r="F135" i="21"/>
  <c r="F134" i="21"/>
  <c r="E134" i="21"/>
  <c r="D134" i="21"/>
  <c r="C134" i="21"/>
  <c r="I24" i="21"/>
  <c r="E34" i="21" l="1"/>
  <c r="F34" i="21" l="1"/>
  <c r="G34" i="21" l="1"/>
  <c r="I34" i="21" l="1"/>
  <c r="H34" i="21" l="1"/>
  <c r="C35" i="21" l="1"/>
  <c r="C34" i="21"/>
  <c r="J34" i="23" l="1"/>
  <c r="I34" i="23" l="1"/>
  <c r="H34" i="23" l="1"/>
  <c r="C34" i="23"/>
  <c r="L82" i="23" l="1"/>
  <c r="E82" i="23" l="1"/>
  <c r="C82" i="23"/>
  <c r="H82" i="23"/>
  <c r="K134" i="23"/>
  <c r="J135" i="23"/>
  <c r="J134" i="23"/>
  <c r="I134" i="23"/>
  <c r="G134" i="23"/>
  <c r="F136" i="23"/>
  <c r="F135" i="23"/>
  <c r="F134" i="23"/>
  <c r="E134" i="23"/>
  <c r="D134" i="23"/>
  <c r="C134" i="23"/>
  <c r="F34" i="23" l="1"/>
  <c r="E34" i="23"/>
  <c r="G94" i="23" l="1"/>
  <c r="G93" i="23"/>
  <c r="G92" i="23"/>
  <c r="G91" i="23"/>
  <c r="C102" i="23"/>
  <c r="C98" i="23"/>
  <c r="C97" i="23"/>
  <c r="C96" i="23"/>
  <c r="C95" i="23"/>
  <c r="C94" i="23"/>
  <c r="C93" i="23"/>
  <c r="C91" i="23"/>
  <c r="D34" i="23"/>
  <c r="K34" i="23" l="1"/>
  <c r="G76" i="23" l="1"/>
  <c r="G35" i="23" s="1"/>
  <c r="G34" i="23"/>
  <c r="L27" i="23" l="1"/>
  <c r="C34" i="22" l="1"/>
  <c r="L82" i="22" l="1"/>
  <c r="F82" i="22"/>
  <c r="E82" i="22"/>
  <c r="C82" i="22"/>
  <c r="H82" i="22"/>
  <c r="K134" i="22"/>
  <c r="J135" i="22"/>
  <c r="J134" i="22"/>
  <c r="I134" i="22"/>
  <c r="G134" i="22"/>
  <c r="F135" i="22"/>
  <c r="F134" i="22"/>
  <c r="E134" i="22"/>
  <c r="D134" i="22"/>
  <c r="C134" i="22"/>
  <c r="C102" i="22"/>
  <c r="C95" i="22"/>
  <c r="C94" i="22"/>
  <c r="H34" i="22"/>
  <c r="J34" i="22"/>
  <c r="E34" i="22" l="1"/>
  <c r="M27" i="22" l="1"/>
  <c r="G91" i="22"/>
  <c r="G92" i="22"/>
  <c r="G94" i="22"/>
  <c r="F35" i="22" l="1"/>
  <c r="G35" i="22"/>
  <c r="I35" i="22"/>
  <c r="K35" i="22"/>
  <c r="K34" i="22"/>
  <c r="F34" i="22" l="1"/>
  <c r="I34" i="22" l="1"/>
  <c r="M125" i="22"/>
  <c r="G34" i="22"/>
  <c r="F82" i="20" l="1"/>
  <c r="E82" i="20"/>
  <c r="C82" i="20"/>
  <c r="H82" i="20"/>
  <c r="J34" i="20" l="1"/>
  <c r="C34" i="20" l="1"/>
  <c r="C33" i="20"/>
  <c r="K34" i="20" l="1"/>
  <c r="G34" i="20" l="1"/>
  <c r="F34" i="20" l="1"/>
  <c r="H34" i="20"/>
  <c r="C102" i="20" l="1"/>
  <c r="C97" i="20"/>
  <c r="C95" i="20"/>
  <c r="C94" i="20"/>
  <c r="C93" i="20"/>
  <c r="C91" i="20"/>
  <c r="E34" i="20"/>
  <c r="I35" i="20"/>
  <c r="D35" i="20"/>
  <c r="D34" i="20"/>
  <c r="G91" i="20"/>
  <c r="G92" i="20"/>
  <c r="D35" i="19" l="1"/>
  <c r="E35" i="19"/>
  <c r="F35" i="19"/>
  <c r="G35" i="19"/>
  <c r="H35" i="19"/>
  <c r="I35" i="19"/>
  <c r="J35" i="19"/>
  <c r="K35" i="19"/>
  <c r="C35" i="19"/>
  <c r="L139" i="14" l="1"/>
  <c r="K136" i="14"/>
  <c r="J136" i="14"/>
  <c r="H136" i="14"/>
  <c r="G136" i="14"/>
  <c r="F136" i="14"/>
  <c r="E136" i="14"/>
  <c r="D136" i="14"/>
  <c r="C136" i="14"/>
  <c r="J135" i="14"/>
  <c r="F135" i="14"/>
  <c r="K134" i="14"/>
  <c r="K137" i="14" s="1"/>
  <c r="J134" i="14"/>
  <c r="I134" i="14"/>
  <c r="I137" i="14" s="1"/>
  <c r="H134" i="14"/>
  <c r="G134" i="14"/>
  <c r="F134" i="14"/>
  <c r="E134" i="14"/>
  <c r="D134" i="14"/>
  <c r="C134" i="14"/>
  <c r="K128" i="14"/>
  <c r="K127" i="14"/>
  <c r="E126" i="14"/>
  <c r="D126" i="14"/>
  <c r="E125" i="14"/>
  <c r="D125" i="14"/>
  <c r="K124" i="14"/>
  <c r="E124" i="14"/>
  <c r="D124" i="14"/>
  <c r="L123" i="14"/>
  <c r="K123" i="14"/>
  <c r="E123" i="14"/>
  <c r="D123" i="14"/>
  <c r="L122" i="14"/>
  <c r="K122" i="14"/>
  <c r="E122" i="14"/>
  <c r="D122" i="14"/>
  <c r="L121" i="14"/>
  <c r="K121" i="14"/>
  <c r="E121" i="14"/>
  <c r="D121" i="14"/>
  <c r="L120" i="14"/>
  <c r="K120" i="14"/>
  <c r="D120" i="14"/>
  <c r="E119" i="14"/>
  <c r="D119" i="14"/>
  <c r="E118" i="14"/>
  <c r="D118" i="14"/>
  <c r="E117" i="14"/>
  <c r="D117" i="14"/>
  <c r="K116" i="14"/>
  <c r="E116" i="14"/>
  <c r="D116" i="14"/>
  <c r="K115" i="14"/>
  <c r="E115" i="14"/>
  <c r="D115" i="14"/>
  <c r="E114" i="14"/>
  <c r="D114" i="14"/>
  <c r="E113" i="14"/>
  <c r="D113" i="14"/>
  <c r="E112" i="14"/>
  <c r="D112" i="14"/>
  <c r="M111" i="14"/>
  <c r="L111" i="14"/>
  <c r="K111" i="14"/>
  <c r="E111" i="14"/>
  <c r="D111" i="14"/>
  <c r="M110" i="14"/>
  <c r="L110" i="14"/>
  <c r="K110" i="14"/>
  <c r="E110" i="14"/>
  <c r="D110" i="14"/>
  <c r="M109" i="14"/>
  <c r="L109" i="14"/>
  <c r="K109" i="14"/>
  <c r="E109" i="14"/>
  <c r="D109" i="14"/>
  <c r="M108" i="14"/>
  <c r="L108" i="14"/>
  <c r="K108" i="14"/>
  <c r="D108" i="14"/>
  <c r="E107" i="14"/>
  <c r="D107" i="14"/>
  <c r="C102" i="14"/>
  <c r="H101" i="14"/>
  <c r="C101" i="14"/>
  <c r="H100" i="14"/>
  <c r="C100" i="14"/>
  <c r="H99" i="14"/>
  <c r="C99" i="14"/>
  <c r="C98" i="14"/>
  <c r="C97" i="14"/>
  <c r="C96" i="14"/>
  <c r="L95" i="14"/>
  <c r="G95" i="14"/>
  <c r="C95" i="14"/>
  <c r="L94" i="14"/>
  <c r="G94" i="14"/>
  <c r="C94" i="14"/>
  <c r="L93" i="14"/>
  <c r="G93" i="14"/>
  <c r="C93" i="14"/>
  <c r="L92" i="14"/>
  <c r="G92" i="14"/>
  <c r="C92" i="14"/>
  <c r="L91" i="14"/>
  <c r="G91" i="14"/>
  <c r="C91" i="14"/>
  <c r="C88" i="14"/>
  <c r="M87" i="14"/>
  <c r="H87" i="14"/>
  <c r="C87" i="14"/>
  <c r="M86" i="14"/>
  <c r="H86" i="14"/>
  <c r="C86" i="14"/>
  <c r="M82" i="14"/>
  <c r="K75" i="14"/>
  <c r="J75" i="14"/>
  <c r="I75" i="14"/>
  <c r="H75" i="14"/>
  <c r="G75" i="14"/>
  <c r="F75" i="14"/>
  <c r="E75" i="14"/>
  <c r="D75" i="14"/>
  <c r="C75" i="14"/>
  <c r="K74" i="14"/>
  <c r="J74" i="14"/>
  <c r="I74" i="14"/>
  <c r="H74" i="14"/>
  <c r="G74" i="14"/>
  <c r="F74" i="14"/>
  <c r="E74" i="14"/>
  <c r="D74" i="14"/>
  <c r="C74" i="14"/>
  <c r="K73" i="14"/>
  <c r="J73" i="14"/>
  <c r="I73" i="14"/>
  <c r="H73" i="14"/>
  <c r="G73" i="14"/>
  <c r="F73" i="14"/>
  <c r="E73" i="14"/>
  <c r="D73" i="14"/>
  <c r="C73" i="14"/>
  <c r="K72" i="14"/>
  <c r="J72" i="14"/>
  <c r="I72" i="14"/>
  <c r="H72" i="14"/>
  <c r="G72" i="14"/>
  <c r="F72" i="14"/>
  <c r="E72" i="14"/>
  <c r="D72" i="14"/>
  <c r="C72" i="14"/>
  <c r="K71" i="14"/>
  <c r="J71" i="14"/>
  <c r="I71" i="14"/>
  <c r="H71" i="14"/>
  <c r="G71" i="14"/>
  <c r="F71" i="14"/>
  <c r="E71" i="14"/>
  <c r="D71" i="14"/>
  <c r="C71" i="14"/>
  <c r="K70" i="14"/>
  <c r="J70" i="14"/>
  <c r="I70" i="14"/>
  <c r="H70" i="14"/>
  <c r="G70" i="14"/>
  <c r="F70" i="14"/>
  <c r="E70" i="14"/>
  <c r="D70" i="14"/>
  <c r="C70" i="14"/>
  <c r="K69" i="14"/>
  <c r="J69" i="14"/>
  <c r="I69" i="14"/>
  <c r="H69" i="14"/>
  <c r="G69" i="14"/>
  <c r="F69" i="14"/>
  <c r="E69" i="14"/>
  <c r="D69" i="14"/>
  <c r="C69" i="14"/>
  <c r="K68" i="14"/>
  <c r="J68" i="14"/>
  <c r="I68" i="14"/>
  <c r="H68" i="14"/>
  <c r="G68" i="14"/>
  <c r="F68" i="14"/>
  <c r="E68" i="14"/>
  <c r="D68" i="14"/>
  <c r="C68" i="14"/>
  <c r="K67" i="14"/>
  <c r="J67" i="14"/>
  <c r="I67" i="14"/>
  <c r="H67" i="14"/>
  <c r="G67" i="14"/>
  <c r="F67" i="14"/>
  <c r="E67" i="14"/>
  <c r="D67" i="14"/>
  <c r="C67" i="14"/>
  <c r="K66" i="14"/>
  <c r="J66" i="14"/>
  <c r="I66" i="14"/>
  <c r="H66" i="14"/>
  <c r="G66" i="14"/>
  <c r="F66" i="14"/>
  <c r="E66" i="14"/>
  <c r="D66" i="14"/>
  <c r="C66" i="14"/>
  <c r="K65" i="14"/>
  <c r="J65" i="14"/>
  <c r="I65" i="14"/>
  <c r="H65" i="14"/>
  <c r="G65" i="14"/>
  <c r="F65" i="14"/>
  <c r="E65" i="14"/>
  <c r="D65" i="14"/>
  <c r="C65" i="14"/>
  <c r="K64" i="14"/>
  <c r="J64" i="14"/>
  <c r="I64" i="14"/>
  <c r="H64" i="14"/>
  <c r="G64" i="14"/>
  <c r="F64" i="14"/>
  <c r="E64" i="14"/>
  <c r="D64" i="14"/>
  <c r="C64" i="14"/>
  <c r="K63" i="14"/>
  <c r="J63" i="14"/>
  <c r="I63" i="14"/>
  <c r="H63" i="14"/>
  <c r="G63" i="14"/>
  <c r="F63" i="14"/>
  <c r="E63" i="14"/>
  <c r="D63" i="14"/>
  <c r="C63" i="14"/>
  <c r="K62" i="14"/>
  <c r="J62" i="14"/>
  <c r="I62" i="14"/>
  <c r="H62" i="14"/>
  <c r="G62" i="14"/>
  <c r="F62" i="14"/>
  <c r="E62" i="14"/>
  <c r="D62" i="14"/>
  <c r="C62" i="14"/>
  <c r="K61" i="14"/>
  <c r="J61" i="14"/>
  <c r="I61" i="14"/>
  <c r="H61" i="14"/>
  <c r="G61" i="14"/>
  <c r="F61" i="14"/>
  <c r="E61" i="14"/>
  <c r="D61" i="14"/>
  <c r="C61" i="14"/>
  <c r="K60" i="14"/>
  <c r="J60" i="14"/>
  <c r="I60" i="14"/>
  <c r="H60" i="14"/>
  <c r="G60" i="14"/>
  <c r="F60" i="14"/>
  <c r="E60" i="14"/>
  <c r="D60" i="14"/>
  <c r="C60" i="14"/>
  <c r="K59" i="14"/>
  <c r="J59" i="14"/>
  <c r="I59" i="14"/>
  <c r="H59" i="14"/>
  <c r="G59" i="14"/>
  <c r="F59" i="14"/>
  <c r="E59" i="14"/>
  <c r="D59" i="14"/>
  <c r="C59" i="14"/>
  <c r="K58" i="14"/>
  <c r="J58" i="14"/>
  <c r="I58" i="14"/>
  <c r="H58" i="14"/>
  <c r="G58" i="14"/>
  <c r="F58" i="14"/>
  <c r="E58" i="14"/>
  <c r="D58" i="14"/>
  <c r="C58" i="14"/>
  <c r="K57" i="14"/>
  <c r="J57" i="14"/>
  <c r="I57" i="14"/>
  <c r="H57" i="14"/>
  <c r="G57" i="14"/>
  <c r="F57" i="14"/>
  <c r="E57" i="14"/>
  <c r="D57" i="14"/>
  <c r="C57" i="14"/>
  <c r="K56" i="14"/>
  <c r="J56" i="14"/>
  <c r="I56" i="14"/>
  <c r="H56" i="14"/>
  <c r="G56" i="14"/>
  <c r="F56" i="14"/>
  <c r="E56" i="14"/>
  <c r="D56" i="14"/>
  <c r="C56" i="14"/>
  <c r="K55" i="14"/>
  <c r="J55" i="14"/>
  <c r="I55" i="14"/>
  <c r="H55" i="14"/>
  <c r="G55" i="14"/>
  <c r="F55" i="14"/>
  <c r="E55" i="14"/>
  <c r="D55" i="14"/>
  <c r="C55" i="14"/>
  <c r="K54" i="14"/>
  <c r="J54" i="14"/>
  <c r="I54" i="14"/>
  <c r="H54" i="14"/>
  <c r="G54" i="14"/>
  <c r="F54" i="14"/>
  <c r="E54" i="14"/>
  <c r="D54" i="14"/>
  <c r="C54" i="14"/>
  <c r="K53" i="14"/>
  <c r="J53" i="14"/>
  <c r="I53" i="14"/>
  <c r="H53" i="14"/>
  <c r="G53" i="14"/>
  <c r="F53" i="14"/>
  <c r="E53" i="14"/>
  <c r="D53" i="14"/>
  <c r="C53" i="14"/>
  <c r="K52" i="14"/>
  <c r="J52" i="14"/>
  <c r="I52" i="14"/>
  <c r="H52" i="14"/>
  <c r="G52" i="14"/>
  <c r="F52" i="14"/>
  <c r="E52" i="14"/>
  <c r="D52" i="14"/>
  <c r="C52" i="14"/>
  <c r="K51" i="14"/>
  <c r="J51" i="14"/>
  <c r="I51" i="14"/>
  <c r="H51" i="14"/>
  <c r="G51" i="14"/>
  <c r="F51" i="14"/>
  <c r="E51" i="14"/>
  <c r="D51" i="14"/>
  <c r="C51" i="14"/>
  <c r="K50" i="14"/>
  <c r="J50" i="14"/>
  <c r="I50" i="14"/>
  <c r="H50" i="14"/>
  <c r="G50" i="14"/>
  <c r="F50" i="14"/>
  <c r="E50" i="14"/>
  <c r="D50" i="14"/>
  <c r="C50" i="14"/>
  <c r="K49" i="14"/>
  <c r="J49" i="14"/>
  <c r="I49" i="14"/>
  <c r="H49" i="14"/>
  <c r="G49" i="14"/>
  <c r="F49" i="14"/>
  <c r="E49" i="14"/>
  <c r="D49" i="14"/>
  <c r="C49" i="14"/>
  <c r="K45" i="14"/>
  <c r="J45" i="14"/>
  <c r="I45" i="14"/>
  <c r="H45" i="14"/>
  <c r="G45" i="14"/>
  <c r="F45" i="14"/>
  <c r="E45" i="14"/>
  <c r="D45" i="14"/>
  <c r="C45" i="14"/>
  <c r="K44" i="14"/>
  <c r="J44" i="14"/>
  <c r="I44" i="14"/>
  <c r="H44" i="14"/>
  <c r="G44" i="14"/>
  <c r="F44" i="14"/>
  <c r="E44" i="14"/>
  <c r="D44" i="14"/>
  <c r="C44" i="14"/>
  <c r="K42" i="14"/>
  <c r="J42" i="14"/>
  <c r="I42" i="14"/>
  <c r="H42" i="14"/>
  <c r="G42" i="14"/>
  <c r="F42" i="14"/>
  <c r="E42" i="14"/>
  <c r="D42" i="14"/>
  <c r="C42" i="14"/>
  <c r="K39" i="14"/>
  <c r="K40" i="14" s="1"/>
  <c r="J39" i="14"/>
  <c r="J40" i="14" s="1"/>
  <c r="I39" i="14"/>
  <c r="I40" i="14" s="1"/>
  <c r="H39" i="14"/>
  <c r="H40" i="14" s="1"/>
  <c r="G39" i="14"/>
  <c r="G40" i="14" s="1"/>
  <c r="F39" i="14"/>
  <c r="F40" i="14" s="1"/>
  <c r="E39" i="14"/>
  <c r="E40" i="14" s="1"/>
  <c r="D39" i="14"/>
  <c r="D40" i="14" s="1"/>
  <c r="C39" i="14"/>
  <c r="C40" i="14" s="1"/>
  <c r="K38" i="14"/>
  <c r="J38" i="14"/>
  <c r="I38" i="14"/>
  <c r="H38" i="14"/>
  <c r="G38" i="14"/>
  <c r="F38" i="14"/>
  <c r="E38" i="14"/>
  <c r="D38" i="14"/>
  <c r="C38" i="14"/>
  <c r="K34" i="14"/>
  <c r="J34" i="14"/>
  <c r="I34" i="14"/>
  <c r="H34" i="14"/>
  <c r="G34" i="14"/>
  <c r="F34" i="14"/>
  <c r="E34" i="14"/>
  <c r="D34" i="14"/>
  <c r="C34" i="14"/>
  <c r="K33" i="14"/>
  <c r="J33" i="14"/>
  <c r="I33" i="14"/>
  <c r="H33" i="14"/>
  <c r="G33" i="14"/>
  <c r="F33" i="14"/>
  <c r="E33" i="14"/>
  <c r="D33" i="14"/>
  <c r="C33" i="14"/>
  <c r="K32" i="14"/>
  <c r="J32" i="14"/>
  <c r="I32" i="14"/>
  <c r="H32" i="14"/>
  <c r="G32" i="14"/>
  <c r="F32" i="14"/>
  <c r="E32" i="14"/>
  <c r="D32" i="14"/>
  <c r="C32" i="14"/>
  <c r="K31" i="14"/>
  <c r="J31" i="14"/>
  <c r="I31" i="14"/>
  <c r="H31" i="14"/>
  <c r="G31" i="14"/>
  <c r="F31" i="14"/>
  <c r="E31" i="14"/>
  <c r="D31" i="14"/>
  <c r="C31" i="14"/>
  <c r="L27" i="14"/>
  <c r="K27" i="14"/>
  <c r="J27" i="14"/>
  <c r="I27" i="14"/>
  <c r="H27" i="14"/>
  <c r="G27" i="14"/>
  <c r="F27" i="14"/>
  <c r="E27" i="14"/>
  <c r="D27" i="14"/>
  <c r="C27" i="14"/>
  <c r="L23" i="14"/>
  <c r="L22" i="14"/>
  <c r="L21" i="14"/>
  <c r="L20" i="14"/>
  <c r="L19" i="14"/>
  <c r="M12" i="14"/>
  <c r="K9" i="14"/>
  <c r="J9" i="14"/>
  <c r="I9" i="14"/>
  <c r="H9" i="14"/>
  <c r="G9" i="14"/>
  <c r="F9" i="14"/>
  <c r="E9" i="14"/>
  <c r="D9" i="14"/>
  <c r="C9" i="14"/>
  <c r="L8" i="14"/>
  <c r="K8" i="14"/>
  <c r="J8" i="14"/>
  <c r="I8" i="14"/>
  <c r="H8" i="14"/>
  <c r="G8" i="14"/>
  <c r="F8" i="14"/>
  <c r="E8" i="14"/>
  <c r="D8" i="14"/>
  <c r="C8" i="14"/>
  <c r="K7" i="14"/>
  <c r="J7" i="14"/>
  <c r="I7" i="14"/>
  <c r="H7" i="14"/>
  <c r="G7" i="14"/>
  <c r="F7" i="14"/>
  <c r="E7" i="14"/>
  <c r="D7" i="14"/>
  <c r="C7" i="14"/>
  <c r="L139" i="24"/>
  <c r="K137" i="24"/>
  <c r="J137" i="24"/>
  <c r="I137" i="24"/>
  <c r="H137" i="24"/>
  <c r="G137" i="24"/>
  <c r="F137" i="24"/>
  <c r="E137" i="24"/>
  <c r="D137" i="24"/>
  <c r="C137" i="24"/>
  <c r="L136" i="24"/>
  <c r="L135" i="24"/>
  <c r="L134" i="24"/>
  <c r="E127" i="24"/>
  <c r="D127" i="24"/>
  <c r="M124" i="24"/>
  <c r="M123" i="24"/>
  <c r="M122" i="24"/>
  <c r="M121" i="24"/>
  <c r="M120" i="24"/>
  <c r="M82" i="24"/>
  <c r="K76" i="24"/>
  <c r="K35" i="24" s="1"/>
  <c r="J76" i="24"/>
  <c r="J35" i="24" s="1"/>
  <c r="I76" i="24"/>
  <c r="I35" i="24" s="1"/>
  <c r="H76" i="24"/>
  <c r="H35" i="24" s="1"/>
  <c r="G76" i="24"/>
  <c r="F76" i="24"/>
  <c r="F35" i="24" s="1"/>
  <c r="E76" i="24"/>
  <c r="E35" i="24" s="1"/>
  <c r="D76" i="24"/>
  <c r="D35" i="24" s="1"/>
  <c r="C76" i="24"/>
  <c r="C35" i="24" s="1"/>
  <c r="L75" i="24"/>
  <c r="L74" i="24"/>
  <c r="L73" i="24"/>
  <c r="L72" i="24"/>
  <c r="L71" i="24"/>
  <c r="L70" i="24"/>
  <c r="L69" i="24"/>
  <c r="L68" i="24"/>
  <c r="L67" i="24"/>
  <c r="L66" i="24"/>
  <c r="L65" i="24"/>
  <c r="L64" i="24"/>
  <c r="L63" i="24"/>
  <c r="L62" i="24"/>
  <c r="L61" i="24"/>
  <c r="L60" i="24"/>
  <c r="L59" i="24"/>
  <c r="L58" i="24"/>
  <c r="L57" i="24"/>
  <c r="L56" i="24"/>
  <c r="L55" i="24"/>
  <c r="L54" i="24"/>
  <c r="L53" i="24"/>
  <c r="L52" i="24"/>
  <c r="L51" i="24"/>
  <c r="L50" i="24"/>
  <c r="L49" i="24"/>
  <c r="L45" i="24"/>
  <c r="L44" i="24"/>
  <c r="L42" i="24"/>
  <c r="K40" i="24"/>
  <c r="J40" i="24"/>
  <c r="I40" i="24"/>
  <c r="H40" i="24"/>
  <c r="G40" i="24"/>
  <c r="F40" i="24"/>
  <c r="E40" i="24"/>
  <c r="D40" i="24"/>
  <c r="C40" i="24"/>
  <c r="L39" i="24"/>
  <c r="L38" i="24"/>
  <c r="K36" i="24"/>
  <c r="J36" i="24"/>
  <c r="I36" i="24"/>
  <c r="H36" i="24"/>
  <c r="G36" i="24"/>
  <c r="F36" i="24"/>
  <c r="E36" i="24"/>
  <c r="D36" i="24"/>
  <c r="C36" i="24"/>
  <c r="L34" i="24"/>
  <c r="L33" i="24"/>
  <c r="L32" i="24"/>
  <c r="L31" i="24"/>
  <c r="M27" i="24"/>
  <c r="K24" i="24"/>
  <c r="J24" i="24"/>
  <c r="I24" i="24"/>
  <c r="H24" i="24"/>
  <c r="G24" i="24"/>
  <c r="F24" i="24"/>
  <c r="E24" i="24"/>
  <c r="D24" i="24"/>
  <c r="C24" i="24"/>
  <c r="L23" i="24"/>
  <c r="L22" i="24"/>
  <c r="L21" i="24"/>
  <c r="L20" i="24"/>
  <c r="L19" i="24"/>
  <c r="M12" i="24"/>
  <c r="M9" i="24"/>
  <c r="M8" i="24"/>
  <c r="M7" i="24"/>
  <c r="L139" i="21"/>
  <c r="K137" i="21"/>
  <c r="J137" i="21"/>
  <c r="I137" i="21"/>
  <c r="H137" i="21"/>
  <c r="G137" i="21"/>
  <c r="F137" i="21"/>
  <c r="E137" i="21"/>
  <c r="D137" i="21"/>
  <c r="C137" i="21"/>
  <c r="L136" i="21"/>
  <c r="L135" i="21"/>
  <c r="L134" i="21"/>
  <c r="E127" i="21"/>
  <c r="D127" i="21"/>
  <c r="M124" i="21"/>
  <c r="M123" i="21"/>
  <c r="M122" i="21"/>
  <c r="M121" i="21"/>
  <c r="M120" i="21"/>
  <c r="M82" i="21"/>
  <c r="K76" i="21"/>
  <c r="K35" i="21" s="1"/>
  <c r="J76" i="21"/>
  <c r="J35" i="21" s="1"/>
  <c r="I76" i="21"/>
  <c r="I35" i="21" s="1"/>
  <c r="H76" i="21"/>
  <c r="H35" i="21" s="1"/>
  <c r="G76" i="21"/>
  <c r="G35" i="21" s="1"/>
  <c r="F76" i="21"/>
  <c r="F35" i="21" s="1"/>
  <c r="E76" i="21"/>
  <c r="E35" i="21" s="1"/>
  <c r="D76" i="21"/>
  <c r="D35" i="21" s="1"/>
  <c r="C76" i="21"/>
  <c r="L75" i="21"/>
  <c r="L74" i="21"/>
  <c r="L73" i="21"/>
  <c r="L72" i="21"/>
  <c r="L71" i="21"/>
  <c r="L70" i="21"/>
  <c r="L69" i="21"/>
  <c r="L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5" i="21"/>
  <c r="L44" i="21"/>
  <c r="L42" i="21"/>
  <c r="K40" i="21"/>
  <c r="J40" i="21"/>
  <c r="I40" i="21"/>
  <c r="H40" i="21"/>
  <c r="G40" i="21"/>
  <c r="F40" i="21"/>
  <c r="E40" i="21"/>
  <c r="D40" i="21"/>
  <c r="C40" i="21"/>
  <c r="L39" i="21"/>
  <c r="L38" i="21"/>
  <c r="K36" i="21"/>
  <c r="J36" i="21"/>
  <c r="I36" i="21"/>
  <c r="H36" i="21"/>
  <c r="G36" i="21"/>
  <c r="F36" i="21"/>
  <c r="E36" i="21"/>
  <c r="D36" i="21"/>
  <c r="C36" i="21"/>
  <c r="L34" i="21"/>
  <c r="L33" i="21"/>
  <c r="L32" i="21"/>
  <c r="L31" i="21"/>
  <c r="M27" i="21"/>
  <c r="K24" i="21"/>
  <c r="J24" i="21"/>
  <c r="H24" i="21"/>
  <c r="G24" i="21"/>
  <c r="F24" i="21"/>
  <c r="E24" i="21"/>
  <c r="D24" i="21"/>
  <c r="C24" i="21"/>
  <c r="L23" i="21"/>
  <c r="L22" i="21"/>
  <c r="L21" i="21"/>
  <c r="L20" i="21"/>
  <c r="L19" i="21"/>
  <c r="M12" i="21"/>
  <c r="L10" i="21"/>
  <c r="I10" i="21"/>
  <c r="H10" i="21"/>
  <c r="M9" i="21"/>
  <c r="M8" i="21"/>
  <c r="M7" i="21"/>
  <c r="L139" i="23"/>
  <c r="K137" i="23"/>
  <c r="J137" i="23"/>
  <c r="I137" i="23"/>
  <c r="H137" i="23"/>
  <c r="G137" i="23"/>
  <c r="F137" i="23"/>
  <c r="E137" i="23"/>
  <c r="D137" i="23"/>
  <c r="C137" i="23"/>
  <c r="L136" i="23"/>
  <c r="L135" i="23"/>
  <c r="L134" i="23"/>
  <c r="E127" i="23"/>
  <c r="D127" i="23"/>
  <c r="M124" i="23"/>
  <c r="M124" i="14" s="1"/>
  <c r="M123" i="23"/>
  <c r="M122" i="23"/>
  <c r="M121" i="23"/>
  <c r="M120" i="23"/>
  <c r="M82" i="23"/>
  <c r="K76" i="23"/>
  <c r="K35" i="23" s="1"/>
  <c r="K36" i="23" s="1"/>
  <c r="J76" i="23"/>
  <c r="J35" i="23" s="1"/>
  <c r="J36" i="23" s="1"/>
  <c r="I76" i="23"/>
  <c r="I35" i="23" s="1"/>
  <c r="I35" i="14" s="1"/>
  <c r="H76" i="23"/>
  <c r="H35" i="23" s="1"/>
  <c r="H36" i="23" s="1"/>
  <c r="F76" i="23"/>
  <c r="F35" i="23" s="1"/>
  <c r="F36" i="23" s="1"/>
  <c r="E76" i="23"/>
  <c r="E35" i="23" s="1"/>
  <c r="D76" i="23"/>
  <c r="D35" i="23" s="1"/>
  <c r="D36" i="23" s="1"/>
  <c r="C76" i="23"/>
  <c r="C35" i="23" s="1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62" i="23"/>
  <c r="L61" i="23"/>
  <c r="L60" i="23"/>
  <c r="L59" i="23"/>
  <c r="L58" i="23"/>
  <c r="L57" i="23"/>
  <c r="L56" i="23"/>
  <c r="L55" i="23"/>
  <c r="L54" i="23"/>
  <c r="L53" i="23"/>
  <c r="L52" i="23"/>
  <c r="L51" i="23"/>
  <c r="L50" i="23"/>
  <c r="L49" i="23"/>
  <c r="L45" i="23"/>
  <c r="L44" i="23"/>
  <c r="L42" i="23"/>
  <c r="K40" i="23"/>
  <c r="J40" i="23"/>
  <c r="I40" i="23"/>
  <c r="H40" i="23"/>
  <c r="G40" i="23"/>
  <c r="F40" i="23"/>
  <c r="E40" i="23"/>
  <c r="D40" i="23"/>
  <c r="C40" i="23"/>
  <c r="L39" i="23"/>
  <c r="L38" i="23"/>
  <c r="G36" i="23"/>
  <c r="E36" i="23"/>
  <c r="C36" i="23"/>
  <c r="L34" i="23"/>
  <c r="L33" i="23"/>
  <c r="L32" i="23"/>
  <c r="L31" i="23"/>
  <c r="M27" i="23"/>
  <c r="K24" i="23"/>
  <c r="J24" i="23"/>
  <c r="I24" i="23"/>
  <c r="H24" i="23"/>
  <c r="G24" i="23"/>
  <c r="F24" i="23"/>
  <c r="E24" i="23"/>
  <c r="D24" i="23"/>
  <c r="C24" i="23"/>
  <c r="L23" i="23"/>
  <c r="L22" i="23"/>
  <c r="L21" i="23"/>
  <c r="L20" i="23"/>
  <c r="L19" i="23"/>
  <c r="M12" i="23"/>
  <c r="L10" i="23"/>
  <c r="I10" i="23"/>
  <c r="H10" i="23"/>
  <c r="M8" i="23"/>
  <c r="M7" i="23"/>
  <c r="L139" i="22"/>
  <c r="K137" i="22"/>
  <c r="J137" i="22"/>
  <c r="I137" i="22"/>
  <c r="H137" i="22"/>
  <c r="G137" i="22"/>
  <c r="F137" i="22"/>
  <c r="E137" i="22"/>
  <c r="D137" i="22"/>
  <c r="C137" i="22"/>
  <c r="L136" i="22"/>
  <c r="L135" i="22"/>
  <c r="L134" i="22"/>
  <c r="E127" i="22"/>
  <c r="D127" i="22"/>
  <c r="M124" i="22"/>
  <c r="M123" i="22"/>
  <c r="M122" i="22"/>
  <c r="M121" i="22"/>
  <c r="M120" i="22"/>
  <c r="M82" i="22"/>
  <c r="K76" i="22"/>
  <c r="J76" i="22"/>
  <c r="J35" i="22" s="1"/>
  <c r="I76" i="22"/>
  <c r="H76" i="22"/>
  <c r="H35" i="22" s="1"/>
  <c r="G76" i="22"/>
  <c r="F76" i="22"/>
  <c r="E76" i="22"/>
  <c r="E35" i="22" s="1"/>
  <c r="D76" i="22"/>
  <c r="D35" i="22" s="1"/>
  <c r="D35" i="14" s="1"/>
  <c r="C76" i="22"/>
  <c r="C35" i="22" s="1"/>
  <c r="L75" i="22"/>
  <c r="L74" i="22"/>
  <c r="L73" i="22"/>
  <c r="L72" i="22"/>
  <c r="L71" i="22"/>
  <c r="L70" i="22"/>
  <c r="L69" i="22"/>
  <c r="L68" i="22"/>
  <c r="L67" i="22"/>
  <c r="L66" i="22"/>
  <c r="L65" i="22"/>
  <c r="L64" i="22"/>
  <c r="L63" i="22"/>
  <c r="L62" i="22"/>
  <c r="L61" i="22"/>
  <c r="L60" i="22"/>
  <c r="L59" i="22"/>
  <c r="L58" i="22"/>
  <c r="L57" i="22"/>
  <c r="L56" i="22"/>
  <c r="L55" i="22"/>
  <c r="L54" i="22"/>
  <c r="L53" i="22"/>
  <c r="L52" i="22"/>
  <c r="L51" i="22"/>
  <c r="L50" i="22"/>
  <c r="L49" i="22"/>
  <c r="L45" i="22"/>
  <c r="L44" i="22"/>
  <c r="L42" i="22"/>
  <c r="K40" i="22"/>
  <c r="J40" i="22"/>
  <c r="I40" i="22"/>
  <c r="H40" i="22"/>
  <c r="G40" i="22"/>
  <c r="F40" i="22"/>
  <c r="E40" i="22"/>
  <c r="D40" i="22"/>
  <c r="C40" i="22"/>
  <c r="L39" i="22"/>
  <c r="L38" i="22"/>
  <c r="K36" i="22"/>
  <c r="J36" i="22"/>
  <c r="I36" i="22"/>
  <c r="H36" i="22"/>
  <c r="G36" i="22"/>
  <c r="F36" i="22"/>
  <c r="E36" i="22"/>
  <c r="D36" i="22"/>
  <c r="C36" i="22"/>
  <c r="L34" i="22"/>
  <c r="L33" i="22"/>
  <c r="L32" i="22"/>
  <c r="L31" i="22"/>
  <c r="K24" i="22"/>
  <c r="J24" i="22"/>
  <c r="I24" i="22"/>
  <c r="H24" i="22"/>
  <c r="G24" i="22"/>
  <c r="F24" i="22"/>
  <c r="E24" i="22"/>
  <c r="D24" i="22"/>
  <c r="C24" i="22"/>
  <c r="L23" i="22"/>
  <c r="L22" i="22"/>
  <c r="L21" i="22"/>
  <c r="L20" i="22"/>
  <c r="L19" i="22"/>
  <c r="M12" i="22"/>
  <c r="M8" i="22"/>
  <c r="M7" i="22"/>
  <c r="L139" i="20"/>
  <c r="K137" i="20"/>
  <c r="J137" i="20"/>
  <c r="I137" i="20"/>
  <c r="H137" i="20"/>
  <c r="G137" i="20"/>
  <c r="F137" i="20"/>
  <c r="E137" i="20"/>
  <c r="D137" i="20"/>
  <c r="C137" i="20"/>
  <c r="L136" i="20"/>
  <c r="L135" i="20"/>
  <c r="L134" i="20"/>
  <c r="E127" i="20"/>
  <c r="D127" i="20"/>
  <c r="M124" i="20"/>
  <c r="M123" i="20"/>
  <c r="M122" i="20"/>
  <c r="M121" i="20"/>
  <c r="M120" i="20"/>
  <c r="M82" i="20"/>
  <c r="K76" i="20"/>
  <c r="K35" i="20" s="1"/>
  <c r="J76" i="20"/>
  <c r="J35" i="20" s="1"/>
  <c r="I76" i="20"/>
  <c r="H76" i="20"/>
  <c r="H35" i="20" s="1"/>
  <c r="G76" i="20"/>
  <c r="G35" i="20" s="1"/>
  <c r="G35" i="14" s="1"/>
  <c r="F76" i="20"/>
  <c r="F35" i="20" s="1"/>
  <c r="E76" i="20"/>
  <c r="E35" i="20" s="1"/>
  <c r="D76" i="20"/>
  <c r="C76" i="20"/>
  <c r="C35" i="20" s="1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5" i="20"/>
  <c r="L44" i="20"/>
  <c r="L42" i="20"/>
  <c r="K40" i="20"/>
  <c r="J40" i="20"/>
  <c r="I40" i="20"/>
  <c r="H40" i="20"/>
  <c r="G40" i="20"/>
  <c r="F40" i="20"/>
  <c r="E40" i="20"/>
  <c r="D40" i="20"/>
  <c r="C40" i="20"/>
  <c r="L39" i="20"/>
  <c r="L38" i="20"/>
  <c r="K36" i="20"/>
  <c r="J36" i="20"/>
  <c r="I36" i="20"/>
  <c r="H36" i="20"/>
  <c r="G36" i="20"/>
  <c r="F36" i="20"/>
  <c r="E36" i="20"/>
  <c r="D36" i="20"/>
  <c r="C36" i="20"/>
  <c r="L34" i="20"/>
  <c r="L33" i="20"/>
  <c r="L32" i="20"/>
  <c r="L31" i="20"/>
  <c r="M27" i="20"/>
  <c r="K24" i="20"/>
  <c r="J24" i="20"/>
  <c r="I24" i="20"/>
  <c r="H24" i="20"/>
  <c r="G24" i="20"/>
  <c r="F24" i="20"/>
  <c r="E24" i="20"/>
  <c r="D24" i="20"/>
  <c r="C24" i="20"/>
  <c r="L23" i="20"/>
  <c r="L22" i="20"/>
  <c r="L21" i="20"/>
  <c r="L20" i="20"/>
  <c r="L19" i="20"/>
  <c r="M12" i="20"/>
  <c r="L10" i="20"/>
  <c r="I10" i="20"/>
  <c r="H10" i="20"/>
  <c r="M8" i="20"/>
  <c r="M7" i="20"/>
  <c r="L139" i="19"/>
  <c r="L137" i="19"/>
  <c r="K137" i="19"/>
  <c r="J137" i="19"/>
  <c r="I137" i="19"/>
  <c r="H137" i="19"/>
  <c r="G137" i="19"/>
  <c r="F137" i="19"/>
  <c r="E137" i="19"/>
  <c r="D137" i="19"/>
  <c r="C137" i="19"/>
  <c r="L136" i="19"/>
  <c r="L135" i="19"/>
  <c r="F135" i="19"/>
  <c r="L134" i="19"/>
  <c r="K134" i="19"/>
  <c r="J134" i="19"/>
  <c r="I134" i="19"/>
  <c r="G134" i="19"/>
  <c r="F134" i="19"/>
  <c r="E134" i="19"/>
  <c r="D134" i="19"/>
  <c r="C134" i="19"/>
  <c r="E127" i="19"/>
  <c r="D127" i="19"/>
  <c r="M124" i="19"/>
  <c r="M123" i="19"/>
  <c r="M122" i="19"/>
  <c r="M121" i="19"/>
  <c r="M120" i="19"/>
  <c r="C102" i="19"/>
  <c r="C98" i="19"/>
  <c r="C97" i="19"/>
  <c r="G95" i="19"/>
  <c r="C95" i="19"/>
  <c r="G94" i="19"/>
  <c r="C94" i="19"/>
  <c r="G93" i="19"/>
  <c r="G92" i="19"/>
  <c r="G91" i="19"/>
  <c r="M82" i="19"/>
  <c r="L82" i="19"/>
  <c r="H82" i="19"/>
  <c r="F82" i="19"/>
  <c r="E82" i="19"/>
  <c r="C82" i="19"/>
  <c r="L76" i="19"/>
  <c r="K76" i="19"/>
  <c r="J76" i="19"/>
  <c r="I76" i="19"/>
  <c r="H76" i="19"/>
  <c r="G76" i="19"/>
  <c r="F76" i="19"/>
  <c r="E76" i="19"/>
  <c r="D76" i="19"/>
  <c r="C76" i="19"/>
  <c r="L75" i="19"/>
  <c r="L74" i="19"/>
  <c r="L73" i="19"/>
  <c r="L72" i="19"/>
  <c r="L71" i="19"/>
  <c r="L70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5" i="19"/>
  <c r="L44" i="19"/>
  <c r="L42" i="19"/>
  <c r="K40" i="19"/>
  <c r="J40" i="19"/>
  <c r="I40" i="19"/>
  <c r="H40" i="19"/>
  <c r="G40" i="19"/>
  <c r="F40" i="19"/>
  <c r="E40" i="19"/>
  <c r="D40" i="19"/>
  <c r="C40" i="19"/>
  <c r="L39" i="19"/>
  <c r="L40" i="19" s="1"/>
  <c r="L38" i="19"/>
  <c r="K36" i="19"/>
  <c r="J36" i="19"/>
  <c r="I36" i="19"/>
  <c r="H36" i="19"/>
  <c r="G36" i="19"/>
  <c r="F36" i="19"/>
  <c r="E36" i="19"/>
  <c r="D36" i="19"/>
  <c r="C36" i="19"/>
  <c r="L36" i="19" s="1"/>
  <c r="L35" i="19"/>
  <c r="L34" i="19"/>
  <c r="K34" i="19"/>
  <c r="J34" i="19"/>
  <c r="H34" i="19"/>
  <c r="G34" i="19"/>
  <c r="F34" i="19"/>
  <c r="E34" i="19"/>
  <c r="D34" i="19"/>
  <c r="C34" i="19"/>
  <c r="L33" i="19"/>
  <c r="L32" i="19"/>
  <c r="L31" i="19"/>
  <c r="M27" i="19"/>
  <c r="L24" i="19"/>
  <c r="K24" i="19"/>
  <c r="J24" i="19"/>
  <c r="I24" i="19"/>
  <c r="H24" i="19"/>
  <c r="G24" i="19"/>
  <c r="F24" i="19"/>
  <c r="E24" i="19"/>
  <c r="D24" i="19"/>
  <c r="C24" i="19"/>
  <c r="L23" i="19"/>
  <c r="L22" i="19"/>
  <c r="L21" i="19"/>
  <c r="L20" i="19"/>
  <c r="L19" i="19"/>
  <c r="M12" i="19"/>
  <c r="L10" i="19"/>
  <c r="I10" i="19"/>
  <c r="H10" i="19"/>
  <c r="M8" i="19"/>
  <c r="M7" i="19"/>
  <c r="L139" i="18"/>
  <c r="L137" i="18"/>
  <c r="K137" i="18"/>
  <c r="J137" i="18"/>
  <c r="I137" i="18"/>
  <c r="H137" i="18"/>
  <c r="G137" i="18"/>
  <c r="F137" i="18"/>
  <c r="E137" i="18"/>
  <c r="D137" i="18"/>
  <c r="C137" i="18"/>
  <c r="L136" i="18"/>
  <c r="L135" i="18"/>
  <c r="L134" i="18"/>
  <c r="E127" i="18"/>
  <c r="D127" i="18"/>
  <c r="M124" i="18"/>
  <c r="M123" i="18"/>
  <c r="M122" i="18"/>
  <c r="M121" i="18"/>
  <c r="M120" i="18"/>
  <c r="C102" i="18"/>
  <c r="C97" i="18"/>
  <c r="C96" i="18"/>
  <c r="C95" i="18"/>
  <c r="G94" i="18"/>
  <c r="C94" i="18"/>
  <c r="C93" i="18"/>
  <c r="G92" i="18"/>
  <c r="G91" i="18"/>
  <c r="C91" i="18"/>
  <c r="M82" i="18"/>
  <c r="L82" i="18"/>
  <c r="H82" i="18"/>
  <c r="C82" i="18"/>
  <c r="L76" i="18"/>
  <c r="K76" i="18"/>
  <c r="J76" i="18"/>
  <c r="I76" i="18"/>
  <c r="H76" i="18"/>
  <c r="G76" i="18"/>
  <c r="F76" i="18"/>
  <c r="E76" i="18"/>
  <c r="D76" i="18"/>
  <c r="C76" i="18"/>
  <c r="L75" i="18"/>
  <c r="L74" i="18"/>
  <c r="L73" i="18"/>
  <c r="L72" i="18"/>
  <c r="L71" i="18"/>
  <c r="L70" i="18"/>
  <c r="L69" i="18"/>
  <c r="L68" i="18"/>
  <c r="L67" i="18"/>
  <c r="L66" i="18"/>
  <c r="L65" i="18"/>
  <c r="L64" i="18"/>
  <c r="L63" i="18"/>
  <c r="L62" i="18"/>
  <c r="L61" i="18"/>
  <c r="L60" i="18"/>
  <c r="L59" i="18"/>
  <c r="L58" i="18"/>
  <c r="L57" i="18"/>
  <c r="L56" i="18"/>
  <c r="L55" i="18"/>
  <c r="L54" i="18"/>
  <c r="L53" i="18"/>
  <c r="L52" i="18"/>
  <c r="L51" i="18"/>
  <c r="L50" i="18"/>
  <c r="L49" i="18"/>
  <c r="L45" i="18"/>
  <c r="L44" i="18"/>
  <c r="L42" i="18"/>
  <c r="L40" i="18"/>
  <c r="K40" i="18"/>
  <c r="J40" i="18"/>
  <c r="I40" i="18"/>
  <c r="H40" i="18"/>
  <c r="G40" i="18"/>
  <c r="F40" i="18"/>
  <c r="E40" i="18"/>
  <c r="D40" i="18"/>
  <c r="C40" i="18"/>
  <c r="L39" i="18"/>
  <c r="L38" i="18"/>
  <c r="L36" i="18"/>
  <c r="K36" i="18"/>
  <c r="J36" i="18"/>
  <c r="I36" i="18"/>
  <c r="H36" i="18"/>
  <c r="G36" i="18"/>
  <c r="F36" i="18"/>
  <c r="E36" i="18"/>
  <c r="D36" i="18"/>
  <c r="C36" i="18"/>
  <c r="L35" i="18"/>
  <c r="K35" i="18"/>
  <c r="J35" i="18"/>
  <c r="I35" i="18"/>
  <c r="H35" i="18"/>
  <c r="G35" i="18"/>
  <c r="F35" i="18"/>
  <c r="E35" i="18"/>
  <c r="D35" i="18"/>
  <c r="C35" i="18"/>
  <c r="L34" i="18"/>
  <c r="K34" i="18"/>
  <c r="J34" i="18"/>
  <c r="I34" i="18"/>
  <c r="H34" i="18"/>
  <c r="G34" i="18"/>
  <c r="F34" i="18"/>
  <c r="E34" i="18"/>
  <c r="D34" i="18"/>
  <c r="L33" i="18"/>
  <c r="L32" i="18"/>
  <c r="L31" i="18"/>
  <c r="M27" i="18"/>
  <c r="L24" i="18"/>
  <c r="K24" i="18"/>
  <c r="J24" i="18"/>
  <c r="I24" i="18"/>
  <c r="H24" i="18"/>
  <c r="G24" i="18"/>
  <c r="F24" i="18"/>
  <c r="E24" i="18"/>
  <c r="D24" i="18"/>
  <c r="C24" i="18"/>
  <c r="L23" i="18"/>
  <c r="L22" i="18"/>
  <c r="L21" i="18"/>
  <c r="L20" i="18"/>
  <c r="L19" i="18"/>
  <c r="M12" i="18"/>
  <c r="L10" i="18"/>
  <c r="I10" i="18"/>
  <c r="H10" i="18"/>
  <c r="C10" i="18"/>
  <c r="M8" i="18"/>
  <c r="M7" i="18"/>
  <c r="L139" i="17"/>
  <c r="L137" i="17"/>
  <c r="K137" i="17"/>
  <c r="J137" i="17"/>
  <c r="I137" i="17"/>
  <c r="H137" i="17"/>
  <c r="G137" i="17"/>
  <c r="F137" i="17"/>
  <c r="E137" i="17"/>
  <c r="D137" i="17"/>
  <c r="C137" i="17"/>
  <c r="L136" i="17"/>
  <c r="L135" i="17"/>
  <c r="L134" i="17"/>
  <c r="E127" i="17"/>
  <c r="D127" i="17"/>
  <c r="M124" i="17"/>
  <c r="M123" i="17"/>
  <c r="M122" i="17"/>
  <c r="M121" i="17"/>
  <c r="M120" i="17"/>
  <c r="C102" i="17"/>
  <c r="C97" i="17"/>
  <c r="C96" i="17"/>
  <c r="C95" i="17"/>
  <c r="G94" i="17"/>
  <c r="C94" i="17"/>
  <c r="G93" i="17"/>
  <c r="G92" i="17"/>
  <c r="G91" i="17"/>
  <c r="M82" i="17"/>
  <c r="J82" i="17"/>
  <c r="H82" i="17"/>
  <c r="F82" i="17"/>
  <c r="E82" i="17"/>
  <c r="C82" i="17"/>
  <c r="L76" i="17"/>
  <c r="K76" i="17"/>
  <c r="J76" i="17"/>
  <c r="I76" i="17"/>
  <c r="H76" i="17"/>
  <c r="G76" i="17"/>
  <c r="F76" i="17"/>
  <c r="E76" i="17"/>
  <c r="D76" i="17"/>
  <c r="C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5" i="17"/>
  <c r="L44" i="17"/>
  <c r="L42" i="17"/>
  <c r="L40" i="17"/>
  <c r="K40" i="17"/>
  <c r="J40" i="17"/>
  <c r="H40" i="17"/>
  <c r="G40" i="17"/>
  <c r="F40" i="17"/>
  <c r="E40" i="17"/>
  <c r="D40" i="17"/>
  <c r="C40" i="17"/>
  <c r="L39" i="17"/>
  <c r="L38" i="17"/>
  <c r="L36" i="17"/>
  <c r="K36" i="17"/>
  <c r="J36" i="17"/>
  <c r="I36" i="17"/>
  <c r="H36" i="17"/>
  <c r="G36" i="17"/>
  <c r="F36" i="17"/>
  <c r="E36" i="17"/>
  <c r="D36" i="17"/>
  <c r="C36" i="17"/>
  <c r="L35" i="17"/>
  <c r="K35" i="17"/>
  <c r="J35" i="17"/>
  <c r="I35" i="17"/>
  <c r="H35" i="17"/>
  <c r="G35" i="17"/>
  <c r="F35" i="17"/>
  <c r="E35" i="17"/>
  <c r="D35" i="17"/>
  <c r="C35" i="17"/>
  <c r="L34" i="17"/>
  <c r="K34" i="17"/>
  <c r="J34" i="17"/>
  <c r="H34" i="17"/>
  <c r="G34" i="17"/>
  <c r="F34" i="17"/>
  <c r="E34" i="17"/>
  <c r="D34" i="17"/>
  <c r="C34" i="17"/>
  <c r="L33" i="17"/>
  <c r="L32" i="17"/>
  <c r="L31" i="17"/>
  <c r="M27" i="17"/>
  <c r="L24" i="17"/>
  <c r="K24" i="17"/>
  <c r="J24" i="17"/>
  <c r="I24" i="17"/>
  <c r="H24" i="17"/>
  <c r="G24" i="17"/>
  <c r="F24" i="17"/>
  <c r="E24" i="17"/>
  <c r="D24" i="17"/>
  <c r="C24" i="17"/>
  <c r="L23" i="17"/>
  <c r="L22" i="17"/>
  <c r="L21" i="17"/>
  <c r="L20" i="17"/>
  <c r="L19" i="17"/>
  <c r="M12" i="17"/>
  <c r="M9" i="17"/>
  <c r="M8" i="17"/>
  <c r="M7" i="17"/>
  <c r="L139" i="16"/>
  <c r="L137" i="16"/>
  <c r="K137" i="16"/>
  <c r="J137" i="16"/>
  <c r="I137" i="16"/>
  <c r="H137" i="16"/>
  <c r="G137" i="16"/>
  <c r="F137" i="16"/>
  <c r="E137" i="16"/>
  <c r="D137" i="16"/>
  <c r="C137" i="16"/>
  <c r="L136" i="16"/>
  <c r="L135" i="16"/>
  <c r="L134" i="16"/>
  <c r="E127" i="16"/>
  <c r="D127" i="16"/>
  <c r="M124" i="16"/>
  <c r="M123" i="16"/>
  <c r="M122" i="16"/>
  <c r="M121" i="16"/>
  <c r="M120" i="16"/>
  <c r="C102" i="16"/>
  <c r="C95" i="16"/>
  <c r="G94" i="16"/>
  <c r="C94" i="16"/>
  <c r="G92" i="16"/>
  <c r="G91" i="16"/>
  <c r="M82" i="16"/>
  <c r="H82" i="16"/>
  <c r="F82" i="16"/>
  <c r="E82" i="16"/>
  <c r="C82" i="16"/>
  <c r="L76" i="16"/>
  <c r="K76" i="16"/>
  <c r="J76" i="16"/>
  <c r="I76" i="16"/>
  <c r="H76" i="16"/>
  <c r="G76" i="16"/>
  <c r="F76" i="16"/>
  <c r="E76" i="16"/>
  <c r="D76" i="16"/>
  <c r="C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5" i="16"/>
  <c r="L44" i="16"/>
  <c r="L42" i="16"/>
  <c r="K40" i="16"/>
  <c r="J40" i="16"/>
  <c r="I40" i="16"/>
  <c r="H40" i="16"/>
  <c r="G40" i="16"/>
  <c r="F40" i="16"/>
  <c r="E40" i="16"/>
  <c r="D40" i="16"/>
  <c r="C40" i="16"/>
  <c r="L39" i="16"/>
  <c r="L40" i="16" s="1"/>
  <c r="L38" i="16"/>
  <c r="L36" i="16"/>
  <c r="K36" i="16"/>
  <c r="J36" i="16"/>
  <c r="I36" i="16"/>
  <c r="H36" i="16"/>
  <c r="G36" i="16"/>
  <c r="F36" i="16"/>
  <c r="E36" i="16"/>
  <c r="D36" i="16"/>
  <c r="C36" i="16"/>
  <c r="L35" i="16"/>
  <c r="K35" i="16"/>
  <c r="J35" i="16"/>
  <c r="I35" i="16"/>
  <c r="H35" i="16"/>
  <c r="G35" i="16"/>
  <c r="F35" i="16"/>
  <c r="E35" i="16"/>
  <c r="D35" i="16"/>
  <c r="C35" i="16"/>
  <c r="L34" i="16"/>
  <c r="K34" i="16"/>
  <c r="J34" i="16"/>
  <c r="I34" i="16"/>
  <c r="H34" i="16"/>
  <c r="G34" i="16"/>
  <c r="F34" i="16"/>
  <c r="E34" i="16"/>
  <c r="D34" i="16"/>
  <c r="C34" i="16"/>
  <c r="L33" i="16"/>
  <c r="L32" i="16"/>
  <c r="L31" i="16"/>
  <c r="M27" i="16"/>
  <c r="L24" i="16"/>
  <c r="K24" i="16"/>
  <c r="J24" i="16"/>
  <c r="I24" i="16"/>
  <c r="H24" i="16"/>
  <c r="G24" i="16"/>
  <c r="F24" i="16"/>
  <c r="E24" i="16"/>
  <c r="D24" i="16"/>
  <c r="C24" i="16"/>
  <c r="L23" i="16"/>
  <c r="L22" i="16"/>
  <c r="L21" i="16"/>
  <c r="L20" i="16"/>
  <c r="L19" i="16"/>
  <c r="M12" i="16"/>
  <c r="L10" i="16"/>
  <c r="M9" i="16"/>
  <c r="M8" i="16"/>
  <c r="M7" i="16"/>
  <c r="L139" i="3"/>
  <c r="L137" i="3"/>
  <c r="K137" i="3"/>
  <c r="J137" i="3"/>
  <c r="I137" i="3"/>
  <c r="H137" i="3"/>
  <c r="G137" i="3"/>
  <c r="F137" i="3"/>
  <c r="E137" i="3"/>
  <c r="D137" i="3"/>
  <c r="C137" i="3"/>
  <c r="L136" i="3"/>
  <c r="L135" i="3"/>
  <c r="L134" i="3"/>
  <c r="E127" i="3"/>
  <c r="D127" i="3"/>
  <c r="M124" i="3"/>
  <c r="M123" i="3"/>
  <c r="M122" i="3"/>
  <c r="M121" i="3"/>
  <c r="M120" i="3"/>
  <c r="M82" i="3"/>
  <c r="L82" i="3"/>
  <c r="H82" i="3"/>
  <c r="F82" i="3"/>
  <c r="E82" i="3"/>
  <c r="C82" i="3"/>
  <c r="L76" i="3"/>
  <c r="K76" i="3"/>
  <c r="J76" i="3"/>
  <c r="I76" i="3"/>
  <c r="H76" i="3"/>
  <c r="G76" i="3"/>
  <c r="F76" i="3"/>
  <c r="E76" i="3"/>
  <c r="D76" i="3"/>
  <c r="C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5" i="3"/>
  <c r="L44" i="3"/>
  <c r="L42" i="3"/>
  <c r="L40" i="3"/>
  <c r="K40" i="3"/>
  <c r="J40" i="3"/>
  <c r="I40" i="3"/>
  <c r="H40" i="3"/>
  <c r="G40" i="3"/>
  <c r="F40" i="3"/>
  <c r="E40" i="3"/>
  <c r="D40" i="3"/>
  <c r="C40" i="3"/>
  <c r="L39" i="3"/>
  <c r="L38" i="3"/>
  <c r="L36" i="3"/>
  <c r="K36" i="3"/>
  <c r="J36" i="3"/>
  <c r="I36" i="3"/>
  <c r="H36" i="3"/>
  <c r="G36" i="3"/>
  <c r="F36" i="3"/>
  <c r="E36" i="3"/>
  <c r="D36" i="3"/>
  <c r="C36" i="3"/>
  <c r="L35" i="3"/>
  <c r="K35" i="3"/>
  <c r="J35" i="3"/>
  <c r="I35" i="3"/>
  <c r="H35" i="3"/>
  <c r="G35" i="3"/>
  <c r="F35" i="3"/>
  <c r="E35" i="3"/>
  <c r="D35" i="3"/>
  <c r="C35" i="3"/>
  <c r="L34" i="3"/>
  <c r="L33" i="3"/>
  <c r="L32" i="3"/>
  <c r="L31" i="3"/>
  <c r="M27" i="3"/>
  <c r="L24" i="3"/>
  <c r="K24" i="3"/>
  <c r="J24" i="3"/>
  <c r="I24" i="3"/>
  <c r="H24" i="3"/>
  <c r="G24" i="3"/>
  <c r="F24" i="3"/>
  <c r="E24" i="3"/>
  <c r="D24" i="3"/>
  <c r="C24" i="3"/>
  <c r="L23" i="3"/>
  <c r="L22" i="3"/>
  <c r="L21" i="3"/>
  <c r="L20" i="3"/>
  <c r="L19" i="3"/>
  <c r="M12" i="3"/>
  <c r="L139" i="15"/>
  <c r="L136" i="15"/>
  <c r="L135" i="15"/>
  <c r="L134" i="15"/>
  <c r="E127" i="15"/>
  <c r="D127" i="15"/>
  <c r="M124" i="15"/>
  <c r="M123" i="15"/>
  <c r="M122" i="15"/>
  <c r="M121" i="15"/>
  <c r="M120" i="15"/>
  <c r="C102" i="15"/>
  <c r="C95" i="15"/>
  <c r="G94" i="15"/>
  <c r="C94" i="15"/>
  <c r="C93" i="15"/>
  <c r="G91" i="15"/>
  <c r="M82" i="15"/>
  <c r="H82" i="15"/>
  <c r="F82" i="15"/>
  <c r="E82" i="15"/>
  <c r="C82" i="15"/>
  <c r="L76" i="15"/>
  <c r="K76" i="15"/>
  <c r="J76" i="15"/>
  <c r="I76" i="15"/>
  <c r="H76" i="15"/>
  <c r="G76" i="15"/>
  <c r="F76" i="15"/>
  <c r="D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5" i="15"/>
  <c r="J45" i="15"/>
  <c r="L44" i="15"/>
  <c r="L42" i="15"/>
  <c r="L39" i="15"/>
  <c r="L38" i="15"/>
  <c r="K35" i="15"/>
  <c r="J35" i="15"/>
  <c r="I35" i="15"/>
  <c r="H35" i="15"/>
  <c r="G35" i="15"/>
  <c r="F35" i="15"/>
  <c r="E35" i="15"/>
  <c r="E36" i="15" s="1"/>
  <c r="D35" i="15"/>
  <c r="L34" i="15"/>
  <c r="K34" i="15"/>
  <c r="J34" i="15"/>
  <c r="H34" i="15"/>
  <c r="G34" i="15"/>
  <c r="F34" i="15"/>
  <c r="E34" i="15"/>
  <c r="D34" i="15"/>
  <c r="C34" i="15"/>
  <c r="L33" i="15"/>
  <c r="L32" i="15"/>
  <c r="L31" i="15"/>
  <c r="M27" i="15"/>
  <c r="L23" i="15"/>
  <c r="L22" i="15"/>
  <c r="L21" i="15"/>
  <c r="L20" i="15"/>
  <c r="L19" i="15"/>
  <c r="M12" i="15"/>
  <c r="M8" i="15"/>
  <c r="M7" i="15"/>
  <c r="L139" i="25"/>
  <c r="L137" i="25"/>
  <c r="K137" i="25"/>
  <c r="J137" i="25"/>
  <c r="I137" i="25"/>
  <c r="H137" i="25"/>
  <c r="G137" i="25"/>
  <c r="F137" i="25"/>
  <c r="E137" i="25"/>
  <c r="D137" i="25"/>
  <c r="C137" i="25"/>
  <c r="L136" i="25"/>
  <c r="L135" i="25"/>
  <c r="L134" i="25"/>
  <c r="E127" i="25"/>
  <c r="D127" i="25"/>
  <c r="M124" i="25"/>
  <c r="M123" i="25"/>
  <c r="M121" i="25"/>
  <c r="M120" i="25"/>
  <c r="C102" i="25"/>
  <c r="C97" i="25"/>
  <c r="C96" i="25"/>
  <c r="C95" i="25"/>
  <c r="G94" i="25"/>
  <c r="C94" i="25"/>
  <c r="C93" i="25"/>
  <c r="G92" i="25"/>
  <c r="G91" i="25"/>
  <c r="C91" i="25"/>
  <c r="M82" i="25"/>
  <c r="H82" i="25"/>
  <c r="F82" i="25"/>
  <c r="E82" i="25"/>
  <c r="C82" i="25"/>
  <c r="L76" i="25"/>
  <c r="K76" i="25"/>
  <c r="J76" i="25"/>
  <c r="I76" i="25"/>
  <c r="H76" i="25"/>
  <c r="G76" i="25"/>
  <c r="F76" i="25"/>
  <c r="E76" i="25"/>
  <c r="D76" i="25"/>
  <c r="C76" i="25"/>
  <c r="L75" i="25"/>
  <c r="L74" i="25"/>
  <c r="L73" i="25"/>
  <c r="L72" i="25"/>
  <c r="L71" i="25"/>
  <c r="L70" i="25"/>
  <c r="L69" i="25"/>
  <c r="L68" i="25"/>
  <c r="L67" i="25"/>
  <c r="L66" i="25"/>
  <c r="L65" i="25"/>
  <c r="L64" i="25"/>
  <c r="L63" i="25"/>
  <c r="L62" i="25"/>
  <c r="L61" i="25"/>
  <c r="L60" i="25"/>
  <c r="L59" i="25"/>
  <c r="L58" i="25"/>
  <c r="L57" i="25"/>
  <c r="L56" i="25"/>
  <c r="L55" i="25"/>
  <c r="L54" i="25"/>
  <c r="L53" i="25"/>
  <c r="L52" i="25"/>
  <c r="L51" i="25"/>
  <c r="L50" i="25"/>
  <c r="L49" i="25"/>
  <c r="L45" i="25"/>
  <c r="L44" i="25"/>
  <c r="L42" i="25"/>
  <c r="L40" i="25"/>
  <c r="K40" i="25"/>
  <c r="J40" i="25"/>
  <c r="I40" i="25"/>
  <c r="H40" i="25"/>
  <c r="G40" i="25"/>
  <c r="F40" i="25"/>
  <c r="E40" i="25"/>
  <c r="D40" i="25"/>
  <c r="C40" i="25"/>
  <c r="L39" i="25"/>
  <c r="L38" i="25"/>
  <c r="L36" i="25"/>
  <c r="K36" i="25"/>
  <c r="J36" i="25"/>
  <c r="I36" i="25"/>
  <c r="H36" i="25"/>
  <c r="G36" i="25"/>
  <c r="F36" i="25"/>
  <c r="E36" i="25"/>
  <c r="D36" i="25"/>
  <c r="C36" i="25"/>
  <c r="L35" i="25"/>
  <c r="K35" i="25"/>
  <c r="J35" i="25"/>
  <c r="I35" i="25"/>
  <c r="H35" i="25"/>
  <c r="G35" i="25"/>
  <c r="F35" i="25"/>
  <c r="E35" i="25"/>
  <c r="D35" i="25"/>
  <c r="C35" i="25"/>
  <c r="L34" i="25"/>
  <c r="J34" i="25"/>
  <c r="H34" i="25"/>
  <c r="G34" i="25"/>
  <c r="F34" i="25"/>
  <c r="E34" i="25"/>
  <c r="D34" i="25"/>
  <c r="C34" i="25"/>
  <c r="L33" i="25"/>
  <c r="L32" i="25"/>
  <c r="L31" i="25"/>
  <c r="M27" i="25"/>
  <c r="L24" i="25"/>
  <c r="K24" i="25"/>
  <c r="J24" i="25"/>
  <c r="I24" i="25"/>
  <c r="H24" i="25"/>
  <c r="G24" i="25"/>
  <c r="F24" i="25"/>
  <c r="E24" i="25"/>
  <c r="D24" i="25"/>
  <c r="C24" i="25"/>
  <c r="L23" i="25"/>
  <c r="L22" i="25"/>
  <c r="L21" i="25"/>
  <c r="L20" i="25"/>
  <c r="L19" i="25"/>
  <c r="M12" i="25"/>
  <c r="L10" i="25"/>
  <c r="M8" i="25"/>
  <c r="M7" i="25"/>
  <c r="H35" i="14" l="1"/>
  <c r="L24" i="24"/>
  <c r="L137" i="24"/>
  <c r="L40" i="24"/>
  <c r="L35" i="24"/>
  <c r="L36" i="24"/>
  <c r="L76" i="24"/>
  <c r="L137" i="21"/>
  <c r="L24" i="21"/>
  <c r="L35" i="21"/>
  <c r="L36" i="21"/>
  <c r="L76" i="21"/>
  <c r="L40" i="21"/>
  <c r="K35" i="14"/>
  <c r="J35" i="14"/>
  <c r="I36" i="23"/>
  <c r="L36" i="23" s="1"/>
  <c r="L24" i="23"/>
  <c r="L137" i="23"/>
  <c r="F35" i="14"/>
  <c r="L40" i="23"/>
  <c r="L55" i="14"/>
  <c r="L57" i="14"/>
  <c r="L67" i="14"/>
  <c r="L35" i="23"/>
  <c r="L76" i="23"/>
  <c r="L56" i="14"/>
  <c r="L60" i="14"/>
  <c r="L62" i="14"/>
  <c r="L64" i="14"/>
  <c r="L68" i="14"/>
  <c r="L70" i="14"/>
  <c r="L74" i="14"/>
  <c r="E127" i="14"/>
  <c r="L137" i="22"/>
  <c r="L35" i="22"/>
  <c r="L73" i="14"/>
  <c r="E35" i="14"/>
  <c r="E36" i="14" s="1"/>
  <c r="L24" i="22"/>
  <c r="L71" i="14"/>
  <c r="L58" i="14"/>
  <c r="L40" i="22"/>
  <c r="L36" i="22"/>
  <c r="L76" i="22"/>
  <c r="M123" i="14"/>
  <c r="M122" i="14"/>
  <c r="M120" i="14"/>
  <c r="I76" i="14"/>
  <c r="M121" i="14"/>
  <c r="L54" i="14"/>
  <c r="L53" i="14"/>
  <c r="J76" i="14"/>
  <c r="L50" i="14"/>
  <c r="D127" i="14"/>
  <c r="K76" i="14"/>
  <c r="G76" i="14"/>
  <c r="L52" i="14"/>
  <c r="L63" i="14"/>
  <c r="L75" i="14"/>
  <c r="F76" i="14"/>
  <c r="L51" i="14"/>
  <c r="H76" i="14"/>
  <c r="L65" i="14"/>
  <c r="H137" i="14"/>
  <c r="L137" i="20"/>
  <c r="J137" i="14"/>
  <c r="L135" i="14"/>
  <c r="G137" i="14"/>
  <c r="F137" i="14"/>
  <c r="E137" i="14"/>
  <c r="D137" i="14"/>
  <c r="L136" i="14"/>
  <c r="C137" i="14"/>
  <c r="L44" i="14"/>
  <c r="L134" i="14"/>
  <c r="L45" i="14"/>
  <c r="L59" i="14"/>
  <c r="L72" i="14"/>
  <c r="L69" i="14"/>
  <c r="L66" i="14"/>
  <c r="E76" i="14"/>
  <c r="L61" i="14"/>
  <c r="L35" i="20"/>
  <c r="L39" i="14"/>
  <c r="L40" i="14" s="1"/>
  <c r="L40" i="20"/>
  <c r="L42" i="14"/>
  <c r="L36" i="20"/>
  <c r="L76" i="20"/>
  <c r="D76" i="14"/>
  <c r="L49" i="14"/>
  <c r="L24" i="20"/>
  <c r="L38" i="14"/>
  <c r="M27" i="14"/>
  <c r="L76" i="14" l="1"/>
  <c r="L137" i="14"/>
  <c r="C35" i="15"/>
  <c r="L35" i="15" s="1"/>
  <c r="C36" i="15"/>
  <c r="L36" i="15" s="1"/>
  <c r="C35" i="14" l="1"/>
  <c r="L35" i="14" l="1"/>
  <c r="C36" i="14"/>
  <c r="L36" i="14" s="1"/>
</calcChain>
</file>

<file path=xl/sharedStrings.xml><?xml version="1.0" encoding="utf-8"?>
<sst xmlns="http://schemas.openxmlformats.org/spreadsheetml/2006/main" count="3526" uniqueCount="486">
  <si>
    <t>LCC</t>
  </si>
  <si>
    <t>PDC</t>
  </si>
  <si>
    <t>SCC</t>
  </si>
  <si>
    <t>Hopi</t>
  </si>
  <si>
    <t>Kayenta</t>
  </si>
  <si>
    <t>SPE</t>
  </si>
  <si>
    <t>STJ</t>
  </si>
  <si>
    <t>TOTAL</t>
  </si>
  <si>
    <t>Patrons Registered</t>
  </si>
  <si>
    <t>Student</t>
  </si>
  <si>
    <t>Staff</t>
  </si>
  <si>
    <t>Faculty</t>
  </si>
  <si>
    <t>Adult-Com</t>
  </si>
  <si>
    <t>Youth-C</t>
  </si>
  <si>
    <t>Total</t>
  </si>
  <si>
    <t>Materials Used</t>
  </si>
  <si>
    <t>Checkout</t>
  </si>
  <si>
    <t>Directional</t>
  </si>
  <si>
    <t>Reference</t>
  </si>
  <si>
    <t>Testing</t>
  </si>
  <si>
    <t>Other</t>
  </si>
  <si>
    <t>#people in sessions</t>
  </si>
  <si>
    <t>Borrowed by NPC</t>
  </si>
  <si>
    <t>Lent by NPC</t>
  </si>
  <si>
    <t>Returnable</t>
  </si>
  <si>
    <t>One-Time</t>
  </si>
  <si>
    <t>Titles</t>
  </si>
  <si>
    <t>WMC</t>
  </si>
  <si>
    <t>Career</t>
  </si>
  <si>
    <t>Electronic</t>
  </si>
  <si>
    <t>Holds/Requests within NPC system</t>
  </si>
  <si>
    <t>Made during the current month</t>
  </si>
  <si>
    <t>Filled during the current month</t>
  </si>
  <si>
    <t>Internet</t>
  </si>
  <si>
    <t>Fines Collected</t>
  </si>
  <si>
    <t>System Use of Materials</t>
  </si>
  <si>
    <t>Items Used by Patron Type</t>
  </si>
  <si>
    <t>Community Adult</t>
  </si>
  <si>
    <t>Community Youth</t>
  </si>
  <si>
    <t>WRV</t>
  </si>
  <si>
    <t>HIS</t>
  </si>
  <si>
    <t>HES</t>
  </si>
  <si>
    <t>SOC</t>
  </si>
  <si>
    <t>PSY</t>
  </si>
  <si>
    <t>Overdue Notices Sent to Patrons</t>
  </si>
  <si>
    <t>2nd Notice</t>
  </si>
  <si>
    <t>Billing</t>
  </si>
  <si>
    <t>Hold Recalls</t>
  </si>
  <si>
    <t>Items Sent for Repair</t>
  </si>
  <si>
    <t>Items Repaired</t>
  </si>
  <si>
    <t>(#students may be more than enrollment if unenrolled student still owes fines; also student records have not been purged yet)</t>
  </si>
  <si>
    <t>(Materials owned)</t>
  </si>
  <si>
    <t>Foreign Film</t>
  </si>
  <si>
    <t>DVD/CD</t>
  </si>
  <si>
    <t>PATRONS &amp; MATERIAL USE</t>
  </si>
  <si>
    <t>Reserves Used</t>
  </si>
  <si>
    <t>Equipment Used</t>
  </si>
  <si>
    <t>MATERIALS OWNED</t>
  </si>
  <si>
    <t>Monograph</t>
  </si>
  <si>
    <t>Serial</t>
  </si>
  <si>
    <t>Cassette</t>
  </si>
  <si>
    <t>Maps</t>
  </si>
  <si>
    <t>Print</t>
  </si>
  <si>
    <t>AV Media</t>
  </si>
  <si>
    <t>VHS</t>
  </si>
  <si>
    <t>SERIVICES PROVIDED</t>
  </si>
  <si>
    <t>NON-NPC</t>
  </si>
  <si>
    <t>DATABASE USE</t>
  </si>
  <si>
    <t>Name</t>
  </si>
  <si>
    <t>General</t>
  </si>
  <si>
    <t>Electronic Books</t>
  </si>
  <si>
    <t>ANT</t>
  </si>
  <si>
    <t>Other NPC</t>
  </si>
  <si>
    <t>Lost-not returned by patron</t>
  </si>
  <si>
    <t>Missing - not found on shelf</t>
  </si>
  <si>
    <t>Soc Sci</t>
  </si>
  <si>
    <t># of computers</t>
  </si>
  <si>
    <t>Health</t>
  </si>
  <si>
    <t>Science Magazine</t>
  </si>
  <si>
    <t>Chronicle of Higher Ed</t>
  </si>
  <si>
    <t>MAT</t>
  </si>
  <si>
    <t>Titles updated</t>
  </si>
  <si>
    <t>Reference/Public Service</t>
  </si>
  <si>
    <t>Misc.</t>
  </si>
  <si>
    <t>E Book</t>
  </si>
  <si>
    <t>MicroFor</t>
  </si>
  <si>
    <t>Titles added</t>
  </si>
  <si>
    <t>Items removed</t>
  </si>
  <si>
    <t>ECD/EDU</t>
  </si>
  <si>
    <t>NAT/NUR</t>
  </si>
  <si>
    <t>GLG</t>
  </si>
  <si>
    <t>Computer Use - Library &amp; Open Lab Sign-Ins</t>
  </si>
  <si>
    <t>Misc. includes braille, globe, graphic, kits &amp; any other media not specified above.</t>
  </si>
  <si>
    <t>Nursing &amp; Allied Health</t>
  </si>
  <si>
    <t>Nursing Resource Ctr</t>
  </si>
  <si>
    <t>Sessions</t>
  </si>
  <si>
    <t>Searches</t>
  </si>
  <si>
    <t>JSTOR</t>
  </si>
  <si>
    <t>Sciences</t>
  </si>
  <si>
    <t>Northland Pioneer College Library System</t>
  </si>
  <si>
    <t xml:space="preserve">Items </t>
  </si>
  <si>
    <t>Equipment</t>
  </si>
  <si>
    <t>ENL</t>
  </si>
  <si>
    <t>BIO</t>
  </si>
  <si>
    <t>CHM</t>
  </si>
  <si>
    <t>GEO</t>
  </si>
  <si>
    <t>Ask a Librarian</t>
  </si>
  <si>
    <t>Library Catalog Usage</t>
  </si>
  <si>
    <t>Inst Email</t>
  </si>
  <si>
    <t>Equipmnt</t>
  </si>
  <si>
    <t>CINAHL</t>
  </si>
  <si>
    <t>Visits</t>
  </si>
  <si>
    <t>Interlibrary Loan - system wide</t>
  </si>
  <si>
    <t>ART</t>
  </si>
  <si>
    <t>SPA</t>
  </si>
  <si>
    <t>not available</t>
  </si>
  <si>
    <t>Government Documents Collection is at LCC.</t>
  </si>
  <si>
    <t>Audio</t>
  </si>
  <si>
    <t>Educational Video</t>
  </si>
  <si>
    <t>Entertainment Video</t>
  </si>
  <si>
    <t>Government Documents</t>
  </si>
  <si>
    <t>Grants</t>
  </si>
  <si>
    <t>Professional Develop.</t>
  </si>
  <si>
    <t>MUS</t>
  </si>
  <si>
    <t>EMT</t>
  </si>
  <si>
    <t>Full-Text</t>
  </si>
  <si>
    <t>History Study Center</t>
  </si>
  <si>
    <t>Pre-Due Date Notice</t>
  </si>
  <si>
    <t>1st Notice</t>
  </si>
  <si>
    <t>HUM</t>
  </si>
  <si>
    <t>HUS</t>
  </si>
  <si>
    <t>Fiche+Film</t>
  </si>
  <si>
    <t>Collections</t>
  </si>
  <si>
    <t>EBSCO Ebooks</t>
  </si>
  <si>
    <t xml:space="preserve">      Ebook turnaways</t>
  </si>
  <si>
    <t>Education Source</t>
  </si>
  <si>
    <t>Text a Librarian</t>
  </si>
  <si>
    <t>BUS</t>
  </si>
  <si>
    <t>(incoming)</t>
  </si>
  <si>
    <t>Faculty Video (off. wr.rm.)</t>
  </si>
  <si>
    <t>EasyBib</t>
  </si>
  <si>
    <t>ERIC</t>
  </si>
  <si>
    <t>Opposing Viewpoints</t>
  </si>
  <si>
    <t>OPAC</t>
  </si>
  <si>
    <t>e-HRAF Archaeology</t>
  </si>
  <si>
    <t>Salem</t>
  </si>
  <si>
    <t>Renewals</t>
  </si>
  <si>
    <t>In-House</t>
  </si>
  <si>
    <t>Equipment-Classrooms</t>
  </si>
  <si>
    <t>CCP</t>
  </si>
  <si>
    <t>CIS</t>
  </si>
  <si>
    <t>MDA</t>
  </si>
  <si>
    <t>PHL</t>
  </si>
  <si>
    <t>IMO</t>
  </si>
  <si>
    <t>Displays/Exhibits</t>
  </si>
  <si>
    <t>Staff Development</t>
  </si>
  <si>
    <t>Special Projects / Staff Accomplishments</t>
  </si>
  <si>
    <t>Meetings/Conferences</t>
  </si>
  <si>
    <t>N/A</t>
  </si>
  <si>
    <t>e-HRAF World Culture</t>
  </si>
  <si>
    <t>Administrative/Personnel Changes</t>
  </si>
  <si>
    <t>Library</t>
  </si>
  <si>
    <t>DRA</t>
  </si>
  <si>
    <t>TESTING</t>
  </si>
  <si>
    <t>NARRATIVE</t>
  </si>
  <si>
    <t>PageViews or</t>
  </si>
  <si>
    <t>Other Measure</t>
  </si>
  <si>
    <t>Display for Park and Recreation Month - SCC</t>
  </si>
  <si>
    <t>Chantal &amp; Myrtle - R&amp;R, Cashier, and Budget Training (7/22)</t>
  </si>
  <si>
    <t>Renwals</t>
  </si>
  <si>
    <t>Unfilled</t>
  </si>
  <si>
    <t>Luann Crosby started on July 1</t>
  </si>
  <si>
    <t>Stan worked with SCC on testing isues.</t>
  </si>
  <si>
    <t>Stan - Student Services (7/13), Dean's Mtg (7/26)</t>
  </si>
  <si>
    <t>Stan - SPASC (7/15), CISCO Training (7/22)</t>
  </si>
  <si>
    <t>Independence Day, American the Beautiful - PDC</t>
  </si>
  <si>
    <t>Microfiche reader transported to Records &amp; Registration from LCC</t>
  </si>
  <si>
    <t>Janalda - Cashier/Registration Training</t>
  </si>
  <si>
    <t>Chantal, Janalda - Advisor's Mtg (7/8)</t>
  </si>
  <si>
    <t>Independence Day, Veteran's Appreciation - Hopi</t>
  </si>
  <si>
    <t>Hot &amp; Cool Reads, July Days, Summer Movie Fun, Patriotic - WMC</t>
  </si>
  <si>
    <t>Daphne - conference meeting with EOS</t>
  </si>
  <si>
    <t xml:space="preserve"> regarding several circulation issues (7/13)</t>
  </si>
  <si>
    <t>Denise continues to take classes at NPC.</t>
  </si>
  <si>
    <t>Sent Equipment from WMC to PDC Lib for storage.</t>
  </si>
  <si>
    <t>Sept. 2016</t>
  </si>
  <si>
    <t>Oct. 2016</t>
  </si>
  <si>
    <t>2016-2017</t>
  </si>
  <si>
    <t>Received new DVD Tower</t>
  </si>
  <si>
    <t>Whiteriver Sister Visit - Denise (8/10)</t>
  </si>
  <si>
    <t>SPE &amp; St. Johns Sister Visit - Daphne (8/2)</t>
  </si>
  <si>
    <t>Convocation - All Staff</t>
  </si>
  <si>
    <t>Community Outreach - Natwani - Janalda</t>
  </si>
  <si>
    <t>Welcome Back - WMC, WRV, Hopi</t>
  </si>
  <si>
    <t xml:space="preserve">Hopi visit - Susan </t>
  </si>
  <si>
    <t>Received Receipt Printers - Error contacting EOS</t>
  </si>
  <si>
    <t>Bethann phone conference with Cynthia regarding media archives (8/26)</t>
  </si>
  <si>
    <t>Title 3 College Success (8/4), SPASC (8/9, 8/19) - Stan</t>
  </si>
  <si>
    <t>Academic Standards (8/16), New Employee (8/18) - Stan</t>
  </si>
  <si>
    <t>Dean's Mtg (8/23) - Stan</t>
  </si>
  <si>
    <t>Stan &amp; Murray - Film Shoot with Mark Ford (8/5)</t>
  </si>
  <si>
    <t>Center/Campus Manager Mtg (8/17) - Chantal</t>
  </si>
  <si>
    <t>Received 11 new library computers (8/11) @ SCC Library</t>
  </si>
  <si>
    <t>New Employee Orientation (8/18) - Chantal, Louann</t>
  </si>
  <si>
    <t>Celebrate Book Lovers Day - SCC</t>
  </si>
  <si>
    <t>Daphne helped with SCC coverage on 8/8, 8/25, 8/26</t>
  </si>
  <si>
    <t>Document camera not working in Video 1 @ SCC</t>
  </si>
  <si>
    <t>Stan, Susan, Cynthia met to discuss testing requests (8/23)</t>
  </si>
  <si>
    <t>Susan and Cynthia - EOS/OCLC Instruction session (8/26)</t>
  </si>
  <si>
    <t>Petty Cash Procedure changed for all Campus Libraries</t>
  </si>
  <si>
    <t>"We're Here for You", Be Informed - PDC</t>
  </si>
  <si>
    <t>Summer Movie Fun, Puzzle, National Park, Voting - WMC</t>
  </si>
  <si>
    <t>EBSCO Audio Books</t>
  </si>
  <si>
    <t>E Audiobooks</t>
  </si>
  <si>
    <t>Salem Press E Books = 172</t>
  </si>
  <si>
    <t>Ebsco E Books = 4267</t>
  </si>
  <si>
    <t>Michelle George is no longer working at WRV Center (9/29)</t>
  </si>
  <si>
    <t xml:space="preserve">Daphne asked support center to change Pharos start up time </t>
  </si>
  <si>
    <t>to 7:30 am instead of 7:45 am.</t>
  </si>
  <si>
    <t>Daphne &amp; Bethann will be investigating other colleges regarding library positions.</t>
  </si>
  <si>
    <t>Met with Stan on 9/13/2016</t>
  </si>
  <si>
    <t>Work Study Interviews @ SCC with Sharon &amp; Luann (9/28)</t>
  </si>
  <si>
    <t>Paperback collection restarted @ SCC Library 9/20/2016</t>
  </si>
  <si>
    <t>Fall, New Book and DVD's - WMC</t>
  </si>
  <si>
    <t xml:space="preserve">Starfish Workshop (9/27) - Chantal </t>
  </si>
  <si>
    <t>Kayenta Staff Mtg (9/6), Adviser's MTG (9/9) - Chantal</t>
  </si>
  <si>
    <t>Diane Joe is new office assistant at Kayenta</t>
  </si>
  <si>
    <t>Cataloging/Technical Issues</t>
  </si>
  <si>
    <t>Change in printing spine &amp; pocket labels in EOS due to upgrade</t>
  </si>
  <si>
    <t>Leadership Academy (9/30) - Stan</t>
  </si>
  <si>
    <t>SPASC (9/2, 9/16), IC (9/9, 9/23), PDC Safety (9/12) - Stan</t>
  </si>
  <si>
    <t>Dean's Mtg (9/13, 9/27), Stu Srvc Mtg (9/14) - Stan</t>
  </si>
  <si>
    <t xml:space="preserve"> Assurance Team (9/15) - Stan</t>
  </si>
  <si>
    <t>Learn Something New, Censorship, How can we Help You - PDC</t>
  </si>
  <si>
    <t>Hispanic Heritage - WMC, SCC, PDC</t>
  </si>
  <si>
    <t>Kayce Price started as FWS at LCC Library</t>
  </si>
  <si>
    <t>Banned Book - WMC, SCC, LCC</t>
  </si>
  <si>
    <t>Consitution Day - WMC, SCC, PDC, LCC</t>
  </si>
  <si>
    <t>Readjusted shelves in workroom to accommodate new DVD's - LCC, WMC</t>
  </si>
  <si>
    <t>Library Meeting - Dawn, Daphne, Denise, Chantal, Luann, Stan, Bethann. Susan, Cynthia, Janalda</t>
  </si>
  <si>
    <t xml:space="preserve">Aug </t>
  </si>
  <si>
    <t xml:space="preserve">Ebsco E Books = </t>
  </si>
  <si>
    <t xml:space="preserve">Salem Press E Books = </t>
  </si>
  <si>
    <t>Ebsco E Books = 4356</t>
  </si>
  <si>
    <t>Ethnologue</t>
  </si>
  <si>
    <t>Started 11/1/2016</t>
  </si>
  <si>
    <t>Received new computer speakers @ Kayenta</t>
  </si>
  <si>
    <t>Removed expired patrons that did not have overdue charges - Daphne</t>
  </si>
  <si>
    <t>NPC B.O.</t>
  </si>
  <si>
    <t>Several computers at PDC had bad monitors</t>
  </si>
  <si>
    <t>New Student &amp; Public computers installed @ PDC</t>
  </si>
  <si>
    <t>Cataloging</t>
  </si>
  <si>
    <t>Trouble with Bib Review in EOS unable to catalog for 3 days</t>
  </si>
  <si>
    <t>HLC Mtg (10/5), LTC Mtg (1/6), SPASC (10/7, 10/21) - Stan</t>
  </si>
  <si>
    <t>Online Time Processing (10/11), IC (10/14), Stu. Srvcs (10/19) - Stan</t>
  </si>
  <si>
    <t>These numbers are not accurate for this month.</t>
  </si>
  <si>
    <t>Brianna Vasquez (FWS) started working at LCC Library</t>
  </si>
  <si>
    <t>FWS Interviews at SCC Library - Luann</t>
  </si>
  <si>
    <t>Banned Books, Celebrating Oct. Days - SCC</t>
  </si>
  <si>
    <t>Election, Vote - PDC, SCC, WMC</t>
  </si>
  <si>
    <t>Shalitha Peaches and Jalen Winslow started working at WMC Library (FWS)</t>
  </si>
  <si>
    <t>WMC sent some AV equipment to PDC for storage</t>
  </si>
  <si>
    <t>Daphne removed expired patrons in EOS</t>
  </si>
  <si>
    <t>Staff Development / Workshopis / Seminars</t>
  </si>
  <si>
    <t>Employee CPR Class - Janalda</t>
  </si>
  <si>
    <t>Advisors Mtg - Chantal, Janalda</t>
  </si>
  <si>
    <t>Kayenta Staff, LA Mtg - Chantal</t>
  </si>
  <si>
    <t>Hispanic Heritage - WMC, PDC, LCC</t>
  </si>
  <si>
    <t>Domestic Violence, Cancer, Halloween - LCC</t>
  </si>
  <si>
    <t>Beware,  - PDC</t>
  </si>
  <si>
    <t>Disabilities Awareness Month - KAY, WMC, PDC, SCC, LCC</t>
  </si>
  <si>
    <t>Color Away Stress, Fall/Halloween, Veteran's Day - WMC</t>
  </si>
  <si>
    <t>Ebsco E Books = 4370</t>
  </si>
  <si>
    <t xml:space="preserve">One-Time = Article usually.  </t>
  </si>
  <si>
    <t xml:space="preserve">One-Time = Article usually. </t>
  </si>
  <si>
    <t>Dortha Antonio was hired as a part temp help at WRV</t>
  </si>
  <si>
    <t>Nov. 2016</t>
  </si>
  <si>
    <t>Deborah Cox started as FWS at SCC (11/28/16)</t>
  </si>
  <si>
    <t>Luann - Interview FWS @ SCC (11/17)</t>
  </si>
  <si>
    <t>SCC weeding Educational VHS and cassette tapes</t>
  </si>
  <si>
    <t>Election, Celebrating Nov days, "Be Thankful for reading" - SCC</t>
  </si>
  <si>
    <t>Recycle Day - LCC</t>
  </si>
  <si>
    <t>DRA Computer broken at PDC</t>
  </si>
  <si>
    <t>New computer at PDC do not have Adobe - service ticket issued</t>
  </si>
  <si>
    <t>Vote - PDC, WMC</t>
  </si>
  <si>
    <t>Give Thanks - PDC</t>
  </si>
  <si>
    <t>Stan - SPASC (11/4, 11/18), Dean's Mtg (11/8, 11/22), Student Services (11/19</t>
  </si>
  <si>
    <t>Stan, LuAnn - Professional non-exempt meeting (11/16)</t>
  </si>
  <si>
    <t>Luann - FLSA meeting SCC (11/2)</t>
  </si>
  <si>
    <t>Stan - Leadership Academy (11/18), Safety Committee (11/9), OCLC (11/30)</t>
  </si>
  <si>
    <t>Stan &amp; Bethann - Library phone meeting (11/9)</t>
  </si>
  <si>
    <t>Stan &amp; Bethann downloaded first batch of ebooks/audiobooks records from OCLC Worldshare</t>
  </si>
  <si>
    <t>Asset Training - Chantal (11/4)</t>
  </si>
  <si>
    <t>Grand Canyon Univ. Lunch &amp; Learn Event for Student @ Kayenta (11/15)</t>
  </si>
  <si>
    <t>Native American Heritage - SCC, WMC, LCC, PDC, Hopi</t>
  </si>
  <si>
    <t>Veteran's Day - SCC, WMC, LCC, PDC, Hopi</t>
  </si>
  <si>
    <t>Chantal, Janalda - Advisor's Mtg (11/4)</t>
  </si>
  <si>
    <t>Chantal - Kayenta Center Staff Mtg (11/1)</t>
  </si>
  <si>
    <t>Patrice Shupla &amp; Erica Tewa started as FWS at Hopi</t>
  </si>
  <si>
    <t>Employee CPR Class @ Hopi</t>
  </si>
  <si>
    <t xml:space="preserve">Active Shooter Exercise correlated with Hopi Jr/Sr. High School </t>
  </si>
  <si>
    <t>Native American Movies shown on Wednesday to celebrate</t>
  </si>
  <si>
    <t>Native American Heritage month</t>
  </si>
  <si>
    <t>Thanksgiving - Hopi, WMC</t>
  </si>
  <si>
    <t>Daphne - College Council (11/18), All College Forum (11/18)</t>
  </si>
  <si>
    <t>Daphne worked on Library Position Report</t>
  </si>
  <si>
    <t>WRV transferred equipment to PDC storage</t>
  </si>
  <si>
    <t>Denise - Training with Dawn and other staff @ WRV</t>
  </si>
  <si>
    <t xml:space="preserve"> (These numbers are not accurate this month).</t>
  </si>
  <si>
    <t>Dec. 2016</t>
  </si>
  <si>
    <t xml:space="preserve">Sister Visit to Hopi - Susan &amp; Cynthia </t>
  </si>
  <si>
    <t>NPC 2 NAU Partnership Info Booth (12/1/16) @ Hopi</t>
  </si>
  <si>
    <t>Stan - LTC (12/1), SPASC (12/2, 12/16), Dean's (12/13), Student Services (12/14)</t>
  </si>
  <si>
    <t>Furniture returned at campuses</t>
  </si>
  <si>
    <t>General Colleciton Inventory started at campuses</t>
  </si>
  <si>
    <t>Inventory completed at LCC</t>
  </si>
  <si>
    <t>"Curl up with a good book" - PDC, SCC</t>
  </si>
  <si>
    <t>Recycling - PDC, LCC</t>
  </si>
  <si>
    <t>Winter, Santa reads - PDC</t>
  </si>
  <si>
    <t xml:space="preserve">Diabetes Awareness, Pearl Harbor Day, World Aids Day,  Night Chant, Dongzhi, </t>
  </si>
  <si>
    <t>Kwanza, Channukah, Yule, Winter Solstice, Soyaluna, Yalda - LCC</t>
  </si>
  <si>
    <t>Christmas - Hopi, LCC, PDC, SCC</t>
  </si>
  <si>
    <t xml:space="preserve">Janalda, Chantal - Advisor's Meeting </t>
  </si>
  <si>
    <t>Ebsco E Books = 4373</t>
  </si>
  <si>
    <t>Denise - training with Whiteriver staff (12/14)</t>
  </si>
  <si>
    <t>Daphne -  College Council (12/9), WMC Safety Committee (12/15)</t>
  </si>
  <si>
    <t>December Days, Color Away Stress, Christmas - Holiday DVD's - WMC</t>
  </si>
  <si>
    <t>No longer opening &amp; closing Distance Learning Classrooms at Campuses</t>
  </si>
  <si>
    <t>Jan. 2017</t>
  </si>
  <si>
    <t>Christopher Early, Dana Cassadore, and Renny Johnson - FWS @ WRV</t>
  </si>
  <si>
    <t>William Oaks - FWS @ SCC</t>
  </si>
  <si>
    <t>"Resolve to read more" - SCC</t>
  </si>
  <si>
    <t>Received new computers at WMC for library and student lab</t>
  </si>
  <si>
    <t>Bus Office</t>
  </si>
  <si>
    <t>Stan - Clery 101 Webinar (1/24)</t>
  </si>
  <si>
    <t>Stan &amp; Bethann - WorldShare Collection Mgr Training in downloading electronic records</t>
  </si>
  <si>
    <t>Stan - Dean's Mtg (1/10, 1/24), SPASC (1/20), Leadership Academy (1/27), and PDC Safety Comm. Mtg (1/30)</t>
  </si>
  <si>
    <t>"Do the math",  - PDC</t>
  </si>
  <si>
    <t>Monica Trujillo hired as FWS - waiting on HR paperwork</t>
  </si>
  <si>
    <t>Science-Hubble Telescope - LCC</t>
  </si>
  <si>
    <t>Cynthia - RIM Training #5 (1/12)</t>
  </si>
  <si>
    <t>MLK-Service, Civil Rights - PDC, SCC, LCC. Hopi</t>
  </si>
  <si>
    <t>FWS workers started at Hopi: Patrice Shupla, Erica Tewa, &amp; Francis Ambrose</t>
  </si>
  <si>
    <t>Vita Tax Training - Janalda</t>
  </si>
  <si>
    <t>Feb. 2017</t>
  </si>
  <si>
    <t>Books &amp; Other</t>
  </si>
  <si>
    <t>Electronic Books Usage</t>
  </si>
  <si>
    <t>Academic Search Complete</t>
  </si>
  <si>
    <t>Associates Programs…</t>
  </si>
  <si>
    <t>Green File</t>
  </si>
  <si>
    <t>Teacher Reference Center</t>
  </si>
  <si>
    <t>Statistics started 1/17</t>
  </si>
  <si>
    <t>Welcome - WRV, PDC, WMC</t>
  </si>
  <si>
    <t>Puzzle, January Days, New Books - WMC</t>
  </si>
  <si>
    <t>Inventory at SCC, PDC, WRV continues</t>
  </si>
  <si>
    <t>Inventory at WMC Complete</t>
  </si>
  <si>
    <t>As of June 2017</t>
  </si>
  <si>
    <t>Info. Lit. Sessions</t>
  </si>
  <si>
    <t xml:space="preserve">Chantal - Advisor's Mtg </t>
  </si>
  <si>
    <t>LCC - Internet and phone down until 4 pm (2/8)</t>
  </si>
  <si>
    <t>LCC library closed at 5:30 pm (2/15)</t>
  </si>
  <si>
    <t>N/a</t>
  </si>
  <si>
    <t>Stan - LTC visit to Maricopa CC - 2/2</t>
  </si>
  <si>
    <t>Stan - Student Srvcs (2/8), Dean's Mtg (2/14), SPASC (2/17)</t>
  </si>
  <si>
    <t>Stan - Leadership Academy (2/24)</t>
  </si>
  <si>
    <t>President's Day, Native Am. Lit. - LCC</t>
  </si>
  <si>
    <t>Presidents, AZ Birthday - PDC</t>
  </si>
  <si>
    <t>Fall in Love with Reading, - SCC</t>
  </si>
  <si>
    <t>Inventory completed and weeding project started @ SCC</t>
  </si>
  <si>
    <t>Welcome Display - WRV</t>
  </si>
  <si>
    <t>Black History - PDC, LCC, WMC, SCC, Hopi</t>
  </si>
  <si>
    <t>Valentine's Day - Hopi</t>
  </si>
  <si>
    <t>Testing log - revised to include the time.</t>
  </si>
  <si>
    <t>Daphne - College Council (2/11)</t>
  </si>
  <si>
    <t>Daphne worked at LCC Library (2/17/17)</t>
  </si>
  <si>
    <t>Library Lover's, February Days, Arizona Birthday - WMC</t>
  </si>
  <si>
    <t>"Hats off to Reading", National Reading - SCC</t>
  </si>
  <si>
    <t>Stan, Denise, Daphne - Webdesign-input session</t>
  </si>
  <si>
    <t>Stan - SPASC (3/3), Assurance Team (3/3)</t>
  </si>
  <si>
    <t>Stan - Leadership Academy (3/24), Safety Committee (3/27)</t>
  </si>
  <si>
    <t>Irish American History - PDC</t>
  </si>
  <si>
    <t>Safe College Training - Daphne, Bethann, Jay, Monica</t>
  </si>
  <si>
    <t>Performance Reviews - Daphne, Bethann, Denise</t>
  </si>
  <si>
    <t>Monica Trujillo - FWS at PDC</t>
  </si>
  <si>
    <t xml:space="preserve">Issues with WorldCat, downloading records for Ebooks &amp; Eaudio - </t>
  </si>
  <si>
    <t>Stan &amp; Bethann conerence w/them on 3/31</t>
  </si>
  <si>
    <t>Chantal - NAU to YOU Jack's Path Training</t>
  </si>
  <si>
    <t>Women's History - SCC, WMC, PDC, LCC</t>
  </si>
  <si>
    <t>Freedom of Information Act, Geology - LCC</t>
  </si>
  <si>
    <t>LCC assisted with model classroom log in (22) and polycom dial-up (27)</t>
  </si>
  <si>
    <t>Flipster</t>
  </si>
  <si>
    <t>Electronic Magazine</t>
  </si>
  <si>
    <t>Started 3/17</t>
  </si>
  <si>
    <t xml:space="preserve">Patron complimented LCC library staff on how nice library looks.  </t>
  </si>
  <si>
    <t>n/a</t>
  </si>
  <si>
    <t>Stan, Bethann, Denise, Janalda - Summit Information Session</t>
  </si>
  <si>
    <t>Update meeting with Hopi Tribe Grants &amp; Scholarship Program - Janalda</t>
  </si>
  <si>
    <t>VITA Tax Intake - Janalda</t>
  </si>
  <si>
    <t>Spring into Reading, AZ Gives Day - WMC</t>
  </si>
  <si>
    <t>St. Patrick's Day, Dr. Seuss - WMC, Hopi</t>
  </si>
  <si>
    <t>Craft Month - Hopi</t>
  </si>
  <si>
    <t>Bus Of/Coll.</t>
  </si>
  <si>
    <t>Jazz Appreciation Month - SCC, WMC</t>
  </si>
  <si>
    <t>Safe College Training - WRV Staff</t>
  </si>
  <si>
    <t>Chantal - Kayenta Staff Mtg (4/14), Advisor's Mtg (4/28)</t>
  </si>
  <si>
    <t>EMT Testing @ WMC Library (4/22, 4/29)</t>
  </si>
  <si>
    <t>Training @ St. Johns (4/14) - Daphne</t>
  </si>
  <si>
    <t>LCC Library closed @ 3:30 on 4/4/2017</t>
  </si>
  <si>
    <t>Intermittent electrical outages @ PDC (4/20, 4/21, 4/24, 4/25, 4/26)</t>
  </si>
  <si>
    <t>Maintenance working on wiring issues @ PDC circulation desk (4/28)</t>
  </si>
  <si>
    <t>National Library Week - WMC, LCC, PDC</t>
  </si>
  <si>
    <t>National Poetry Month - SCC, WMC, PDC, LCC</t>
  </si>
  <si>
    <t>Earth Day - SCC, WMC, LCC, PDC</t>
  </si>
  <si>
    <t xml:space="preserve">Daphne - College Council (4/14) </t>
  </si>
  <si>
    <t xml:space="preserve">Cynthia, Susan - LCC Meeting with Dr. Swarthout 4/11 </t>
  </si>
  <si>
    <t>Stan - SPASC (4/7), Dean's Mtg (4/11, 4/25), Student Service Mtg (4/12)</t>
  </si>
  <si>
    <t>Stan - IC (4/14), ACCL Mtg (4/21), Leadership Academy (4/28), Mtg with President (4/6)</t>
  </si>
  <si>
    <t>Stan - Advisor/LMT Interview - WRV (4/19)</t>
  </si>
  <si>
    <t>All College Picnic - Daphne, Susan, Cynthia, Luann</t>
  </si>
  <si>
    <t xml:space="preserve">Janalda - Hopi Job/Education Fair Outreach, Advisor's Mtg </t>
  </si>
  <si>
    <t>Mental Health First Aid - Hopi</t>
  </si>
  <si>
    <t>Student Fax/IRS = 4</t>
  </si>
  <si>
    <t>Daphne, Luann, Susan, Cynthia - NPC Picnic (4/21)</t>
  </si>
  <si>
    <t>April Days, Easter, "Your life is a story" - WMC</t>
  </si>
  <si>
    <t>Bus. Office</t>
  </si>
  <si>
    <t>PageViews</t>
  </si>
  <si>
    <t>Mother's Day, Cinco De Mayo, End of Semester - Hopi</t>
  </si>
  <si>
    <t>Hopi Sister Visit and Library Inventory/weeding - Susan</t>
  </si>
  <si>
    <t>Congrats to Graduates - SCC, WMC</t>
  </si>
  <si>
    <t>Astronomy, Congrats to graduates, Memorial Day - SCC</t>
  </si>
  <si>
    <t>Employee CPR Workshop - Janalda</t>
  </si>
  <si>
    <t xml:space="preserve">PrepSTEP Webinar (5/1) - Stan </t>
  </si>
  <si>
    <t>WESTPAS Preservation Workshop (5/15) - Bethann &amp; Cynthia</t>
  </si>
  <si>
    <t>Stan - Student Services Mtg (5/10), Dean's Mtg (5/23)</t>
  </si>
  <si>
    <t>Stan, Daphne - Media Fee Mtg (5/24)</t>
  </si>
  <si>
    <t>May is…., Military Appreciation, Check Meowt, Imagination - PDC</t>
  </si>
  <si>
    <t>Customer asked to leave LCC Library for disrupting behavior (5/17)</t>
  </si>
  <si>
    <t xml:space="preserve">New Temp employees: Linda Lazzarini and Josephine Chee - LCC </t>
  </si>
  <si>
    <t>Red Cross, Inventor's Month, Memorial Day, Religion/Philosophy - LCC</t>
  </si>
  <si>
    <t>Customer Service Webinar  (5/5)- Daphne, Denise, Luann, Stan, Bethann, Cynthia, Susan</t>
  </si>
  <si>
    <t>and Sanders (5/23) touring the college</t>
  </si>
  <si>
    <t>had to wait in line to take their test</t>
  </si>
  <si>
    <t>Color away stress, Memorial Day, Children's Book week - WMC</t>
  </si>
  <si>
    <t>New Employee @ WRV - April Horne</t>
  </si>
  <si>
    <t>Training for April Horne, @ WMC Library - Daphne &amp; Denise (5/15, 5/16, 5/17, 5/19)</t>
  </si>
  <si>
    <t>Training for April Horne, @ WRV Library - Denise (5/18, 5/23)</t>
  </si>
  <si>
    <t>Daphne - College Council (5/12)</t>
  </si>
  <si>
    <t>Daphne, Bethann, Stan - worked on job description revisions (5/23)</t>
  </si>
  <si>
    <t>Chairs from WMC library taken to be reupholstered</t>
  </si>
  <si>
    <t>Rearranging at WRV library</t>
  </si>
  <si>
    <t>No headphones available for patrons at WRV for computer usage.</t>
  </si>
  <si>
    <t>"Honoring our soldier" - WRV</t>
  </si>
  <si>
    <t xml:space="preserve">Short orientation at @ WMC Library for students from McNary (5/16) </t>
  </si>
  <si>
    <t>5/10/2017 - 15 people at different times @ WMC Library</t>
  </si>
  <si>
    <t>Last day for FWS workers (5/19)</t>
  </si>
  <si>
    <t>Page Views</t>
  </si>
  <si>
    <t>Continual problem for a week in the Audio Room @ SCC Library</t>
  </si>
  <si>
    <t>New Children's Book, World Ocean's Day - SCC</t>
  </si>
  <si>
    <t>Welcome students, Flipster - SCC</t>
  </si>
  <si>
    <t>June 5 = 24 patrons</t>
  </si>
  <si>
    <t>June 12 = 31</t>
  </si>
  <si>
    <t>June 19 = 28</t>
  </si>
  <si>
    <t>June 26 = 21</t>
  </si>
  <si>
    <t>Total = 104 people attended</t>
  </si>
  <si>
    <t xml:space="preserve">Speakers and power pack are missing @ WRV </t>
  </si>
  <si>
    <t>Model polycom went down @ WMC - IS is borrowing library polycom.</t>
  </si>
  <si>
    <t>Pharos was down @ LCC on 6/19.</t>
  </si>
  <si>
    <t>Gov Docs disposal list #9 - MAPS sent for posting - Susan @ LCC (6/28)</t>
  </si>
  <si>
    <t>Discover Nest @ SCC Library for month of June (crafts for kids 5-12) - Luann</t>
  </si>
  <si>
    <t>D-Day, Language - LCC</t>
  </si>
  <si>
    <t>Flag Day - SCC, WMC, LCC</t>
  </si>
  <si>
    <t>AZ Women in Higher Education (6/1 &amp; 6/2) - Chantal, Myrtle, Daphne, Denise</t>
  </si>
  <si>
    <t>Chantal - Advisement Mtg (6/9)</t>
  </si>
  <si>
    <t>Pharos computer updated mid June, may affect Pharos statistics</t>
  </si>
  <si>
    <t>Stan - ACCTO conf (6/8) Dean's Mtg (6/13)</t>
  </si>
  <si>
    <t>We're here for you, Gardening, Route 66 - PDC</t>
  </si>
  <si>
    <t>WRV library is rearranged to accommodate academic and advising testing.</t>
  </si>
  <si>
    <t>Furniture at WMC Library continues to be reupholstered.</t>
  </si>
  <si>
    <t xml:space="preserve">Collection letters sent out to delinquent patron - Daphne </t>
  </si>
  <si>
    <t>Denise - training @ WRV - 6/9/17</t>
  </si>
  <si>
    <t>Father's Day, Nat'l Hotdog Day, Outdoors, Welcome students - Hopi</t>
  </si>
  <si>
    <t>Travel, Summer Movie Fun, June Days - WMC</t>
  </si>
  <si>
    <t>Ebsco E Books = 4466</t>
  </si>
  <si>
    <t>as of 6/30/2017</t>
  </si>
  <si>
    <t>Started 9/1/2016</t>
  </si>
  <si>
    <t xml:space="preserve">Statistics for Oct. and Nov were inaccurate (short)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</si>
</sst>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gray125">
        <f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Fill="1" applyBorder="1"/>
    <xf numFmtId="17" fontId="1" fillId="0" borderId="0" xfId="0" applyNumberFormat="1" applyFont="1"/>
    <xf numFmtId="3" fontId="0" fillId="0" borderId="0" xfId="0" applyNumberFormat="1"/>
    <xf numFmtId="17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Border="1"/>
    <xf numFmtId="0" fontId="0" fillId="0" borderId="5" xfId="0" applyBorder="1"/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49" fontId="0" fillId="0" borderId="8" xfId="0" applyNumberFormat="1" applyBorder="1"/>
    <xf numFmtId="49" fontId="0" fillId="0" borderId="8" xfId="0" applyNumberForma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0" fillId="0" borderId="7" xfId="0" applyNumberFormat="1" applyBorder="1"/>
    <xf numFmtId="49" fontId="0" fillId="0" borderId="0" xfId="0" applyNumberFormat="1" applyBorder="1"/>
    <xf numFmtId="49" fontId="0" fillId="0" borderId="0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0" fillId="0" borderId="10" xfId="0" applyNumberFormat="1" applyBorder="1"/>
    <xf numFmtId="49" fontId="0" fillId="0" borderId="11" xfId="0" applyNumberFormat="1" applyBorder="1"/>
    <xf numFmtId="49" fontId="1" fillId="0" borderId="6" xfId="0" applyNumberFormat="1" applyFont="1" applyBorder="1"/>
    <xf numFmtId="49" fontId="1" fillId="0" borderId="8" xfId="0" applyNumberFormat="1" applyFont="1" applyBorder="1"/>
    <xf numFmtId="49" fontId="1" fillId="0" borderId="9" xfId="0" applyNumberFormat="1" applyFont="1" applyBorder="1"/>
    <xf numFmtId="49" fontId="1" fillId="0" borderId="0" xfId="0" applyNumberFormat="1" applyFont="1" applyBorder="1"/>
    <xf numFmtId="0" fontId="0" fillId="0" borderId="0" xfId="0" applyBorder="1"/>
    <xf numFmtId="0" fontId="0" fillId="6" borderId="5" xfId="0" applyFill="1" applyBorder="1"/>
    <xf numFmtId="0" fontId="0" fillId="0" borderId="9" xfId="0" applyBorder="1"/>
    <xf numFmtId="0" fontId="2" fillId="0" borderId="5" xfId="0" applyFont="1" applyBorder="1"/>
    <xf numFmtId="0" fontId="0" fillId="0" borderId="8" xfId="0" applyBorder="1"/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0" fontId="0" fillId="0" borderId="6" xfId="0" applyBorder="1"/>
    <xf numFmtId="0" fontId="0" fillId="0" borderId="12" xfId="0" applyBorder="1"/>
    <xf numFmtId="0" fontId="2" fillId="0" borderId="10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9" xfId="0" applyNumberFormat="1" applyFont="1" applyBorder="1"/>
    <xf numFmtId="0" fontId="2" fillId="0" borderId="0" xfId="0" applyFont="1" applyBorder="1"/>
    <xf numFmtId="0" fontId="1" fillId="0" borderId="6" xfId="0" applyFont="1" applyBorder="1"/>
    <xf numFmtId="0" fontId="0" fillId="0" borderId="14" xfId="0" applyBorder="1"/>
    <xf numFmtId="0" fontId="1" fillId="0" borderId="0" xfId="0" applyFont="1" applyBorder="1"/>
    <xf numFmtId="0" fontId="0" fillId="0" borderId="10" xfId="0" applyFill="1" applyBorder="1"/>
    <xf numFmtId="0" fontId="0" fillId="0" borderId="11" xfId="0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11" xfId="0" applyFont="1" applyBorder="1"/>
    <xf numFmtId="3" fontId="0" fillId="0" borderId="8" xfId="0" applyNumberFormat="1" applyBorder="1"/>
    <xf numFmtId="0" fontId="2" fillId="0" borderId="11" xfId="0" applyFont="1" applyBorder="1"/>
    <xf numFmtId="0" fontId="1" fillId="0" borderId="12" xfId="0" applyFont="1" applyBorder="1"/>
    <xf numFmtId="0" fontId="2" fillId="0" borderId="8" xfId="0" applyFont="1" applyBorder="1"/>
    <xf numFmtId="0" fontId="1" fillId="0" borderId="9" xfId="0" applyFont="1" applyBorder="1"/>
    <xf numFmtId="0" fontId="0" fillId="0" borderId="0" xfId="0" applyFont="1" applyFill="1" applyBorder="1"/>
    <xf numFmtId="0" fontId="1" fillId="0" borderId="7" xfId="0" applyFont="1" applyBorder="1"/>
    <xf numFmtId="0" fontId="1" fillId="0" borderId="10" xfId="0" applyFont="1" applyBorder="1"/>
    <xf numFmtId="0" fontId="2" fillId="0" borderId="7" xfId="0" applyFont="1" applyBorder="1"/>
    <xf numFmtId="0" fontId="2" fillId="0" borderId="13" xfId="0" applyFont="1" applyBorder="1"/>
    <xf numFmtId="0" fontId="0" fillId="0" borderId="15" xfId="0" applyBorder="1"/>
    <xf numFmtId="0" fontId="3" fillId="0" borderId="0" xfId="0" applyFont="1" applyBorder="1"/>
    <xf numFmtId="49" fontId="2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164" fontId="0" fillId="0" borderId="3" xfId="0" applyNumberFormat="1" applyBorder="1"/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49" fontId="2" fillId="0" borderId="11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5" borderId="0" xfId="0" applyFill="1" applyBorder="1"/>
    <xf numFmtId="0" fontId="2" fillId="0" borderId="0" xfId="0" applyFont="1" applyFill="1" applyBorder="1"/>
    <xf numFmtId="0" fontId="0" fillId="0" borderId="13" xfId="0" applyFill="1" applyBorder="1"/>
    <xf numFmtId="0" fontId="2" fillId="5" borderId="6" xfId="0" applyFont="1" applyFill="1" applyBorder="1"/>
    <xf numFmtId="0" fontId="0" fillId="5" borderId="8" xfId="0" applyFill="1" applyBorder="1"/>
    <xf numFmtId="0" fontId="0" fillId="5" borderId="11" xfId="0" applyFill="1" applyBorder="1"/>
    <xf numFmtId="0" fontId="0" fillId="5" borderId="13" xfId="0" applyFill="1" applyBorder="1"/>
    <xf numFmtId="0" fontId="2" fillId="5" borderId="8" xfId="0" applyFont="1" applyFill="1" applyBorder="1"/>
    <xf numFmtId="0" fontId="1" fillId="0" borderId="0" xfId="0" applyFont="1" applyFill="1" applyBorder="1"/>
    <xf numFmtId="0" fontId="2" fillId="0" borderId="6" xfId="0" applyFont="1" applyBorder="1"/>
    <xf numFmtId="0" fontId="0" fillId="5" borderId="7" xfId="0" applyFill="1" applyBorder="1"/>
    <xf numFmtId="0" fontId="2" fillId="0" borderId="9" xfId="0" applyFont="1" applyFill="1" applyBorder="1"/>
    <xf numFmtId="0" fontId="0" fillId="5" borderId="10" xfId="0" applyFill="1" applyBorder="1"/>
    <xf numFmtId="0" fontId="2" fillId="0" borderId="12" xfId="0" applyFont="1" applyFill="1" applyBorder="1"/>
    <xf numFmtId="0" fontId="2" fillId="0" borderId="8" xfId="0" applyFont="1" applyFill="1" applyBorder="1"/>
    <xf numFmtId="0" fontId="0" fillId="0" borderId="8" xfId="0" applyFill="1" applyBorder="1"/>
    <xf numFmtId="0" fontId="0" fillId="2" borderId="10" xfId="0" applyFill="1" applyBorder="1"/>
    <xf numFmtId="0" fontId="1" fillId="0" borderId="9" xfId="0" applyFont="1" applyFill="1" applyBorder="1"/>
    <xf numFmtId="0" fontId="2" fillId="5" borderId="12" xfId="0" applyFont="1" applyFill="1" applyBorder="1"/>
    <xf numFmtId="0" fontId="1" fillId="5" borderId="8" xfId="0" applyFont="1" applyFill="1" applyBorder="1"/>
    <xf numFmtId="0" fontId="1" fillId="5" borderId="7" xfId="0" applyFont="1" applyFill="1" applyBorder="1"/>
    <xf numFmtId="49" fontId="0" fillId="0" borderId="13" xfId="0" applyNumberFormat="1" applyBorder="1"/>
    <xf numFmtId="0" fontId="2" fillId="0" borderId="2" xfId="0" applyFont="1" applyBorder="1"/>
    <xf numFmtId="0" fontId="2" fillId="3" borderId="5" xfId="0" applyFont="1" applyFill="1" applyBorder="1"/>
    <xf numFmtId="49" fontId="2" fillId="0" borderId="11" xfId="0" applyNumberFormat="1" applyFont="1" applyBorder="1"/>
    <xf numFmtId="49" fontId="0" fillId="0" borderId="10" xfId="0" applyNumberFormat="1" applyBorder="1" applyAlignment="1">
      <alignment horizontal="left"/>
    </xf>
    <xf numFmtId="49" fontId="2" fillId="0" borderId="10" xfId="0" applyNumberFormat="1" applyFont="1" applyBorder="1"/>
    <xf numFmtId="0" fontId="2" fillId="0" borderId="4" xfId="0" applyFont="1" applyFill="1" applyBorder="1"/>
    <xf numFmtId="3" fontId="0" fillId="0" borderId="0" xfId="0" applyNumberFormat="1" applyBorder="1"/>
    <xf numFmtId="49" fontId="2" fillId="0" borderId="12" xfId="0" applyNumberFormat="1" applyFont="1" applyBorder="1"/>
    <xf numFmtId="49" fontId="4" fillId="0" borderId="11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0" fillId="2" borderId="2" xfId="0" applyFill="1" applyBorder="1"/>
    <xf numFmtId="0" fontId="0" fillId="0" borderId="2" xfId="0" applyBorder="1"/>
    <xf numFmtId="0" fontId="0" fillId="5" borderId="2" xfId="0" applyFill="1" applyBorder="1"/>
    <xf numFmtId="0" fontId="0" fillId="6" borderId="2" xfId="0" applyFill="1" applyBorder="1"/>
    <xf numFmtId="0" fontId="0" fillId="4" borderId="2" xfId="0" applyFill="1" applyBorder="1"/>
    <xf numFmtId="0" fontId="0" fillId="3" borderId="2" xfId="0" applyFill="1" applyBorder="1"/>
    <xf numFmtId="49" fontId="1" fillId="0" borderId="9" xfId="0" applyNumberFormat="1" applyFont="1" applyFill="1" applyBorder="1" applyAlignment="1">
      <alignment horizontal="left"/>
    </xf>
    <xf numFmtId="0" fontId="0" fillId="0" borderId="14" xfId="0" applyFill="1" applyBorder="1"/>
    <xf numFmtId="164" fontId="0" fillId="0" borderId="4" xfId="0" applyNumberFormat="1" applyBorder="1"/>
    <xf numFmtId="0" fontId="1" fillId="0" borderId="15" xfId="0" applyFont="1" applyBorder="1"/>
    <xf numFmtId="3" fontId="0" fillId="0" borderId="7" xfId="0" applyNumberFormat="1" applyBorder="1"/>
    <xf numFmtId="3" fontId="0" fillId="0" borderId="10" xfId="0" applyNumberFormat="1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49" fontId="2" fillId="0" borderId="9" xfId="0" applyNumberFormat="1" applyFont="1" applyBorder="1" applyAlignment="1">
      <alignment horizontal="left" indent="1"/>
    </xf>
    <xf numFmtId="49" fontId="2" fillId="0" borderId="9" xfId="0" applyNumberFormat="1" applyFont="1" applyFill="1" applyBorder="1" applyAlignment="1">
      <alignment horizontal="left" indent="1"/>
    </xf>
    <xf numFmtId="49" fontId="2" fillId="0" borderId="0" xfId="0" applyNumberFormat="1" applyFont="1" applyBorder="1" applyAlignment="1">
      <alignment horizontal="left" indent="1"/>
    </xf>
    <xf numFmtId="0" fontId="1" fillId="0" borderId="4" xfId="0" applyFont="1" applyBorder="1"/>
    <xf numFmtId="0" fontId="0" fillId="0" borderId="3" xfId="0" applyFill="1" applyBorder="1"/>
    <xf numFmtId="0" fontId="0" fillId="0" borderId="4" xfId="0" applyFill="1" applyBorder="1"/>
    <xf numFmtId="0" fontId="2" fillId="0" borderId="14" xfId="0" applyFont="1" applyBorder="1"/>
    <xf numFmtId="0" fontId="1" fillId="7" borderId="2" xfId="0" applyFont="1" applyFill="1" applyBorder="1"/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7" fontId="4" fillId="7" borderId="0" xfId="0" applyNumberFormat="1" applyFont="1" applyFill="1" applyAlignment="1">
      <alignment horizontal="center"/>
    </xf>
    <xf numFmtId="0" fontId="1" fillId="7" borderId="6" xfId="0" applyFont="1" applyFill="1" applyBorder="1"/>
    <xf numFmtId="0" fontId="1" fillId="7" borderId="8" xfId="0" applyFont="1" applyFill="1" applyBorder="1"/>
    <xf numFmtId="0" fontId="1" fillId="7" borderId="3" xfId="0" applyFont="1" applyFill="1" applyBorder="1"/>
    <xf numFmtId="0" fontId="1" fillId="7" borderId="12" xfId="0" applyFont="1" applyFill="1" applyBorder="1"/>
    <xf numFmtId="0" fontId="1" fillId="7" borderId="11" xfId="0" applyFont="1" applyFill="1" applyBorder="1"/>
    <xf numFmtId="0" fontId="0" fillId="7" borderId="8" xfId="0" applyFill="1" applyBorder="1"/>
    <xf numFmtId="0" fontId="2" fillId="7" borderId="8" xfId="0" applyFont="1" applyFill="1" applyBorder="1"/>
    <xf numFmtId="0" fontId="0" fillId="7" borderId="7" xfId="0" applyFill="1" applyBorder="1"/>
    <xf numFmtId="0" fontId="1" fillId="7" borderId="7" xfId="0" applyFont="1" applyFill="1" applyBorder="1"/>
    <xf numFmtId="0" fontId="0" fillId="7" borderId="0" xfId="0" applyFill="1"/>
    <xf numFmtId="0" fontId="0" fillId="8" borderId="0" xfId="0" applyFill="1" applyBorder="1"/>
    <xf numFmtId="0" fontId="0" fillId="7" borderId="4" xfId="0" applyFill="1" applyBorder="1"/>
    <xf numFmtId="0" fontId="1" fillId="7" borderId="0" xfId="0" applyFont="1" applyFill="1"/>
    <xf numFmtId="0" fontId="1" fillId="7" borderId="0" xfId="0" applyFont="1" applyFill="1" applyBorder="1"/>
    <xf numFmtId="0" fontId="0" fillId="7" borderId="0" xfId="0" applyFill="1" applyBorder="1"/>
    <xf numFmtId="0" fontId="0" fillId="7" borderId="11" xfId="0" applyFill="1" applyBorder="1"/>
    <xf numFmtId="0" fontId="1" fillId="7" borderId="9" xfId="0" applyFont="1" applyFill="1" applyBorder="1"/>
    <xf numFmtId="0" fontId="0" fillId="7" borderId="6" xfId="0" applyFill="1" applyBorder="1"/>
    <xf numFmtId="0" fontId="2" fillId="0" borderId="1" xfId="0" applyFont="1" applyBorder="1"/>
    <xf numFmtId="0" fontId="1" fillId="0" borderId="0" xfId="0" applyFont="1" applyAlignment="1">
      <alignment horizontal="right"/>
    </xf>
    <xf numFmtId="0" fontId="2" fillId="5" borderId="2" xfId="0" applyFont="1" applyFill="1" applyBorder="1"/>
    <xf numFmtId="0" fontId="2" fillId="3" borderId="2" xfId="0" applyFont="1" applyFill="1" applyBorder="1"/>
    <xf numFmtId="0" fontId="0" fillId="2" borderId="9" xfId="0" applyFill="1" applyBorder="1"/>
    <xf numFmtId="0" fontId="0" fillId="5" borderId="9" xfId="0" applyFill="1" applyBorder="1"/>
    <xf numFmtId="0" fontId="0" fillId="6" borderId="9" xfId="0" applyFill="1" applyBorder="1"/>
    <xf numFmtId="0" fontId="0" fillId="3" borderId="9" xfId="0" applyFill="1" applyBorder="1"/>
    <xf numFmtId="0" fontId="0" fillId="4" borderId="9" xfId="0" applyFill="1" applyBorder="1"/>
    <xf numFmtId="0" fontId="1" fillId="7" borderId="5" xfId="0" applyFont="1" applyFill="1" applyBorder="1"/>
    <xf numFmtId="0" fontId="2" fillId="7" borderId="7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9" xfId="0" applyFont="1" applyFill="1" applyBorder="1" applyAlignment="1">
      <alignment horizontal="left" indent="1"/>
    </xf>
    <xf numFmtId="0" fontId="1" fillId="0" borderId="6" xfId="0" applyFont="1" applyFill="1" applyBorder="1"/>
    <xf numFmtId="0" fontId="1" fillId="0" borderId="8" xfId="0" applyFont="1" applyFill="1" applyBorder="1"/>
    <xf numFmtId="0" fontId="0" fillId="2" borderId="7" xfId="0" applyFill="1" applyBorder="1"/>
    <xf numFmtId="0" fontId="2" fillId="0" borderId="0" xfId="0" applyFont="1" applyBorder="1" applyAlignment="1">
      <alignment horizontal="left" indent="1"/>
    </xf>
    <xf numFmtId="0" fontId="0" fillId="0" borderId="16" xfId="0" applyFill="1" applyBorder="1"/>
    <xf numFmtId="0" fontId="0" fillId="0" borderId="0" xfId="0" applyBorder="1" applyAlignment="1">
      <alignment horizontal="left" indent="2"/>
    </xf>
    <xf numFmtId="49" fontId="2" fillId="0" borderId="0" xfId="0" applyNumberFormat="1" applyFont="1" applyFill="1" applyBorder="1" applyAlignment="1">
      <alignment horizontal="left" indent="1"/>
    </xf>
    <xf numFmtId="3" fontId="0" fillId="0" borderId="0" xfId="0" applyNumberFormat="1" applyFill="1" applyBorder="1"/>
    <xf numFmtId="49" fontId="2" fillId="0" borderId="0" xfId="0" applyNumberFormat="1" applyFont="1" applyFill="1" applyBorder="1" applyAlignment="1">
      <alignment horizontal="left" indent="2"/>
    </xf>
    <xf numFmtId="0" fontId="0" fillId="0" borderId="0" xfId="0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0" fillId="0" borderId="4" xfId="0" applyBorder="1"/>
    <xf numFmtId="0" fontId="0" fillId="0" borderId="17" xfId="0" applyBorder="1"/>
    <xf numFmtId="1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9" xfId="0" applyBorder="1" applyAlignment="1">
      <alignment horizontal="left" indent="2"/>
    </xf>
    <xf numFmtId="49" fontId="0" fillId="0" borderId="0" xfId="0" applyNumberFormat="1" applyBorder="1" applyAlignment="1">
      <alignment horizontal="left" indent="1"/>
    </xf>
    <xf numFmtId="0" fontId="2" fillId="0" borderId="0" xfId="0" applyFont="1" applyBorder="1" applyAlignment="1">
      <alignment horizontal="right"/>
    </xf>
    <xf numFmtId="49" fontId="2" fillId="0" borderId="9" xfId="0" applyNumberFormat="1" applyFont="1" applyBorder="1" applyAlignment="1">
      <alignment horizontal="left" indent="2"/>
    </xf>
    <xf numFmtId="0" fontId="0" fillId="0" borderId="1" xfId="0" applyBorder="1" applyAlignment="1">
      <alignment horizontal="right"/>
    </xf>
    <xf numFmtId="0" fontId="1" fillId="0" borderId="8" xfId="0" applyFont="1" applyBorder="1" applyAlignment="1">
      <alignment horizontal="center" vertical="top"/>
    </xf>
    <xf numFmtId="0" fontId="2" fillId="2" borderId="5" xfId="0" applyFont="1" applyFill="1" applyBorder="1"/>
    <xf numFmtId="0" fontId="2" fillId="6" borderId="5" xfId="0" applyFont="1" applyFill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0" xfId="0" applyFont="1" applyFill="1" applyBorder="1"/>
    <xf numFmtId="0" fontId="2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0" xfId="0" applyAlignment="1">
      <alignment horizontal="left" indent="2"/>
    </xf>
    <xf numFmtId="49" fontId="2" fillId="0" borderId="0" xfId="0" applyNumberFormat="1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0" fillId="0" borderId="11" xfId="0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0" fillId="0" borderId="12" xfId="0" applyBorder="1" applyAlignment="1">
      <alignment horizontal="left" indent="1"/>
    </xf>
    <xf numFmtId="49" fontId="1" fillId="0" borderId="9" xfId="0" applyNumberFormat="1" applyFont="1" applyFill="1" applyBorder="1" applyAlignment="1">
      <alignment horizontal="left" indent="1"/>
    </xf>
    <xf numFmtId="49" fontId="2" fillId="0" borderId="9" xfId="0" applyNumberFormat="1" applyFont="1" applyFill="1" applyBorder="1" applyAlignment="1">
      <alignment horizontal="left" indent="2"/>
    </xf>
    <xf numFmtId="49" fontId="0" fillId="0" borderId="9" xfId="0" applyNumberFormat="1" applyBorder="1" applyAlignment="1">
      <alignment horizontal="left" indent="1"/>
    </xf>
    <xf numFmtId="49" fontId="0" fillId="0" borderId="11" xfId="0" applyNumberFormat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3" fontId="0" fillId="0" borderId="11" xfId="0" applyNumberFormat="1" applyBorder="1"/>
    <xf numFmtId="3" fontId="0" fillId="0" borderId="13" xfId="0" applyNumberFormat="1" applyBorder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topLeftCell="A86" zoomScaleNormal="100" workbookViewId="0">
      <selection activeCell="M122" sqref="M122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>
        <v>42552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36</v>
      </c>
      <c r="D7" s="29">
        <v>5</v>
      </c>
      <c r="E7" s="29">
        <v>126</v>
      </c>
      <c r="F7" s="61">
        <v>443</v>
      </c>
      <c r="G7" s="61">
        <v>77</v>
      </c>
      <c r="H7" s="61">
        <v>0</v>
      </c>
      <c r="I7" s="61">
        <v>16</v>
      </c>
      <c r="J7" s="61">
        <v>202</v>
      </c>
      <c r="K7" s="61">
        <v>2</v>
      </c>
      <c r="L7" s="166" t="s">
        <v>158</v>
      </c>
      <c r="M7" s="51">
        <f>SUM(C7:L7)</f>
        <v>907</v>
      </c>
    </row>
    <row r="8" spans="1:18" x14ac:dyDescent="0.2">
      <c r="A8" s="31"/>
      <c r="B8" s="47" t="s">
        <v>146</v>
      </c>
      <c r="C8" s="29">
        <v>3</v>
      </c>
      <c r="D8" s="29">
        <v>1</v>
      </c>
      <c r="E8" s="29">
        <v>2</v>
      </c>
      <c r="F8" s="61">
        <v>76</v>
      </c>
      <c r="G8" s="61">
        <v>18</v>
      </c>
      <c r="H8" s="61">
        <v>0</v>
      </c>
      <c r="I8" s="61">
        <v>0</v>
      </c>
      <c r="J8" s="61">
        <v>8</v>
      </c>
      <c r="K8" s="61">
        <v>1</v>
      </c>
      <c r="L8" s="167">
        <v>11</v>
      </c>
      <c r="M8" s="51">
        <f>SUM(C8:L8)</f>
        <v>120</v>
      </c>
    </row>
    <row r="9" spans="1:18" ht="13.5" thickBot="1" x14ac:dyDescent="0.25">
      <c r="A9" s="31"/>
      <c r="B9" s="47" t="s">
        <v>147</v>
      </c>
      <c r="C9" s="3">
        <v>6</v>
      </c>
      <c r="D9" s="3">
        <v>0</v>
      </c>
      <c r="E9" s="3">
        <v>4</v>
      </c>
      <c r="F9" s="3">
        <v>61</v>
      </c>
      <c r="G9" s="3">
        <v>8</v>
      </c>
      <c r="H9" s="3">
        <v>0</v>
      </c>
      <c r="I9" s="3">
        <v>0</v>
      </c>
      <c r="J9" s="3">
        <v>29</v>
      </c>
      <c r="K9" s="3">
        <v>0</v>
      </c>
      <c r="L9" s="168" t="s">
        <v>158</v>
      </c>
      <c r="M9" s="51">
        <f>SUM(C9:L9)</f>
        <v>108</v>
      </c>
    </row>
    <row r="10" spans="1:18" ht="13.5" thickTop="1" x14ac:dyDescent="0.2">
      <c r="A10" s="41"/>
      <c r="B10" s="55" t="s">
        <v>14</v>
      </c>
      <c r="C10" s="38">
        <f t="shared" ref="C10:L10" si="0">SUM(C7:C9)</f>
        <v>45</v>
      </c>
      <c r="D10" s="38">
        <f t="shared" si="0"/>
        <v>6</v>
      </c>
      <c r="E10" s="38">
        <f t="shared" si="0"/>
        <v>132</v>
      </c>
      <c r="F10" s="38">
        <f t="shared" si="0"/>
        <v>580</v>
      </c>
      <c r="G10" s="38">
        <f t="shared" si="0"/>
        <v>103</v>
      </c>
      <c r="H10" s="38">
        <f t="shared" si="0"/>
        <v>0</v>
      </c>
      <c r="I10" s="38">
        <f t="shared" si="0"/>
        <v>16</v>
      </c>
      <c r="J10" s="38">
        <f t="shared" si="0"/>
        <v>239</v>
      </c>
      <c r="K10" s="38">
        <f t="shared" si="0"/>
        <v>3</v>
      </c>
      <c r="L10" s="38">
        <f t="shared" si="0"/>
        <v>11</v>
      </c>
      <c r="M10" s="39">
        <f>SUM(C10:L10)</f>
        <v>1135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3315</v>
      </c>
      <c r="D12" s="123">
        <v>82</v>
      </c>
      <c r="E12" s="122">
        <v>14536</v>
      </c>
      <c r="F12" s="123">
        <v>12043</v>
      </c>
      <c r="G12" s="123">
        <v>9427</v>
      </c>
      <c r="H12" s="123">
        <v>104</v>
      </c>
      <c r="I12" s="123">
        <v>60</v>
      </c>
      <c r="J12" s="123">
        <v>11283</v>
      </c>
      <c r="K12" s="123">
        <v>905</v>
      </c>
      <c r="L12" s="123"/>
      <c r="M12" s="124">
        <f>SUM(C12:K12)</f>
        <v>51755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75</v>
      </c>
      <c r="D19" s="29">
        <v>1</v>
      </c>
      <c r="E19" s="29">
        <v>142</v>
      </c>
      <c r="F19" s="4">
        <v>206</v>
      </c>
      <c r="G19" s="4">
        <v>115</v>
      </c>
      <c r="H19" s="4">
        <v>1</v>
      </c>
      <c r="I19" s="4">
        <v>5</v>
      </c>
      <c r="J19" s="4">
        <v>77</v>
      </c>
      <c r="K19" s="4">
        <v>48</v>
      </c>
      <c r="L19" s="36">
        <f>SUM(C19:K19)</f>
        <v>670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51">
        <f>SUM(C20:K20)</f>
        <v>7</v>
      </c>
    </row>
    <row r="21" spans="1:13" x14ac:dyDescent="0.2">
      <c r="A21" s="31"/>
      <c r="B21" s="29" t="s">
        <v>11</v>
      </c>
      <c r="C21" s="4">
        <v>1</v>
      </c>
      <c r="D21" s="4">
        <v>0</v>
      </c>
      <c r="E21" s="4">
        <v>19</v>
      </c>
      <c r="F21" s="4">
        <v>18</v>
      </c>
      <c r="G21" s="4">
        <v>19</v>
      </c>
      <c r="H21" s="4">
        <v>1</v>
      </c>
      <c r="I21" s="4">
        <v>0</v>
      </c>
      <c r="J21" s="4">
        <v>30</v>
      </c>
      <c r="K21" s="4">
        <v>0</v>
      </c>
      <c r="L21" s="51">
        <f>SUM(C21:K21)</f>
        <v>88</v>
      </c>
    </row>
    <row r="22" spans="1:13" x14ac:dyDescent="0.2">
      <c r="A22" s="31"/>
      <c r="B22" s="29" t="s">
        <v>10</v>
      </c>
      <c r="C22" s="4">
        <v>5</v>
      </c>
      <c r="D22" s="4">
        <v>3</v>
      </c>
      <c r="E22" s="4">
        <v>12</v>
      </c>
      <c r="F22" s="4">
        <v>60</v>
      </c>
      <c r="G22" s="4">
        <v>21</v>
      </c>
      <c r="H22" s="4">
        <v>2</v>
      </c>
      <c r="I22" s="4">
        <v>2</v>
      </c>
      <c r="J22" s="4">
        <v>29</v>
      </c>
      <c r="K22" s="4">
        <v>5</v>
      </c>
      <c r="L22" s="51">
        <f>SUM(C22:K22)</f>
        <v>139</v>
      </c>
    </row>
    <row r="23" spans="1:13" ht="13.5" thickBot="1" x14ac:dyDescent="0.25">
      <c r="A23" s="31"/>
      <c r="B23" s="29" t="s">
        <v>9</v>
      </c>
      <c r="C23" s="3">
        <v>146</v>
      </c>
      <c r="D23" s="3">
        <v>79</v>
      </c>
      <c r="E23" s="3">
        <v>385</v>
      </c>
      <c r="F23" s="3">
        <v>439</v>
      </c>
      <c r="G23" s="3">
        <v>303</v>
      </c>
      <c r="H23" s="3">
        <v>16</v>
      </c>
      <c r="I23" s="3">
        <v>15</v>
      </c>
      <c r="J23" s="3">
        <v>728</v>
      </c>
      <c r="K23" s="3">
        <v>202</v>
      </c>
      <c r="L23" s="49">
        <f>SUM(C23:K23)</f>
        <v>2313</v>
      </c>
    </row>
    <row r="24" spans="1:13" ht="13.5" thickTop="1" x14ac:dyDescent="0.2">
      <c r="A24" s="31"/>
      <c r="B24" s="50" t="s">
        <v>14</v>
      </c>
      <c r="C24" s="29">
        <f>SUM(C19:C23)</f>
        <v>228</v>
      </c>
      <c r="D24" s="29">
        <f t="shared" ref="D24:L24" si="1">SUM(D19:D23)</f>
        <v>83</v>
      </c>
      <c r="E24" s="29">
        <f t="shared" si="1"/>
        <v>559</v>
      </c>
      <c r="F24" s="29">
        <f t="shared" si="1"/>
        <v>723</v>
      </c>
      <c r="G24" s="29">
        <f t="shared" si="1"/>
        <v>459</v>
      </c>
      <c r="H24" s="29">
        <f t="shared" si="1"/>
        <v>20</v>
      </c>
      <c r="I24" s="29">
        <f t="shared" si="1"/>
        <v>22</v>
      </c>
      <c r="J24" s="29">
        <f t="shared" si="1"/>
        <v>864</v>
      </c>
      <c r="K24" s="29">
        <f t="shared" si="1"/>
        <v>259</v>
      </c>
      <c r="L24" s="36">
        <f t="shared" si="1"/>
        <v>3217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132</v>
      </c>
      <c r="M26" s="156" t="s">
        <v>14</v>
      </c>
    </row>
    <row r="27" spans="1:13" x14ac:dyDescent="0.2">
      <c r="A27" s="132" t="s">
        <v>34</v>
      </c>
      <c r="B27" s="139"/>
      <c r="C27" s="73">
        <v>5</v>
      </c>
      <c r="D27" s="73">
        <v>0</v>
      </c>
      <c r="E27" s="73">
        <v>30.5</v>
      </c>
      <c r="F27" s="73">
        <v>211.68</v>
      </c>
      <c r="G27" s="73">
        <v>2.5</v>
      </c>
      <c r="H27" s="73">
        <v>0</v>
      </c>
      <c r="I27" s="73">
        <v>0</v>
      </c>
      <c r="J27" s="73">
        <v>57.5</v>
      </c>
      <c r="K27" s="73">
        <v>1</v>
      </c>
      <c r="L27" s="73">
        <v>0</v>
      </c>
      <c r="M27" s="118">
        <f>SUM(C27:L27)</f>
        <v>308.18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34</v>
      </c>
      <c r="D31" s="29">
        <v>18</v>
      </c>
      <c r="E31" s="29">
        <v>34</v>
      </c>
      <c r="F31" s="4">
        <v>183</v>
      </c>
      <c r="G31" s="4">
        <v>118</v>
      </c>
      <c r="H31" s="4">
        <v>182</v>
      </c>
      <c r="I31" s="4">
        <v>5</v>
      </c>
      <c r="J31" s="4">
        <v>169</v>
      </c>
      <c r="K31" s="4">
        <v>1</v>
      </c>
      <c r="L31" s="51">
        <f t="shared" ref="L31:L36" si="2">SUM(C31:K31)</f>
        <v>744</v>
      </c>
    </row>
    <row r="32" spans="1:13" x14ac:dyDescent="0.2">
      <c r="B32" s="60" t="s">
        <v>18</v>
      </c>
      <c r="C32" s="29">
        <v>15</v>
      </c>
      <c r="D32" s="29">
        <v>16</v>
      </c>
      <c r="E32" s="29">
        <v>49</v>
      </c>
      <c r="F32" s="4">
        <v>75</v>
      </c>
      <c r="G32" s="4">
        <v>28</v>
      </c>
      <c r="H32" s="4">
        <v>3</v>
      </c>
      <c r="I32" s="4">
        <v>0</v>
      </c>
      <c r="J32" s="4">
        <v>31</v>
      </c>
      <c r="K32" s="4">
        <v>0</v>
      </c>
      <c r="L32" s="51">
        <f t="shared" si="2"/>
        <v>217</v>
      </c>
    </row>
    <row r="33" spans="1:12" x14ac:dyDescent="0.2">
      <c r="B33" s="60" t="s">
        <v>20</v>
      </c>
      <c r="C33" s="29">
        <v>179</v>
      </c>
      <c r="D33" s="29">
        <v>100</v>
      </c>
      <c r="E33" s="29">
        <v>286</v>
      </c>
      <c r="F33" s="29">
        <v>357</v>
      </c>
      <c r="G33" s="29">
        <v>160</v>
      </c>
      <c r="H33" s="4">
        <v>8</v>
      </c>
      <c r="I33" s="4">
        <v>4</v>
      </c>
      <c r="J33" s="4">
        <v>227</v>
      </c>
      <c r="K33" s="29">
        <v>0</v>
      </c>
      <c r="L33" s="51">
        <f t="shared" si="2"/>
        <v>1321</v>
      </c>
    </row>
    <row r="34" spans="1:12" x14ac:dyDescent="0.2">
      <c r="B34" s="60" t="s">
        <v>108</v>
      </c>
      <c r="C34" s="4">
        <f>11+93</f>
        <v>104</v>
      </c>
      <c r="D34" s="4">
        <f>80</f>
        <v>80</v>
      </c>
      <c r="E34" s="4">
        <f>19</f>
        <v>19</v>
      </c>
      <c r="F34" s="4">
        <f>16+61</f>
        <v>77</v>
      </c>
      <c r="G34" s="4">
        <f>18+51</f>
        <v>69</v>
      </c>
      <c r="H34" s="4">
        <f>12+54</f>
        <v>66</v>
      </c>
      <c r="I34" s="4">
        <v>0</v>
      </c>
      <c r="J34">
        <f>21+111</f>
        <v>132</v>
      </c>
      <c r="K34" s="4">
        <v>16</v>
      </c>
      <c r="L34" s="51">
        <f t="shared" si="2"/>
        <v>563</v>
      </c>
    </row>
    <row r="35" spans="1:12" ht="13.5" thickBot="1" x14ac:dyDescent="0.25">
      <c r="B35" s="119" t="s">
        <v>19</v>
      </c>
      <c r="C35" s="3">
        <f t="shared" ref="C35:K35" si="3">C76</f>
        <v>13</v>
      </c>
      <c r="D35" s="3">
        <f t="shared" si="3"/>
        <v>20</v>
      </c>
      <c r="E35" s="3">
        <f t="shared" si="3"/>
        <v>44</v>
      </c>
      <c r="F35" s="3">
        <f t="shared" si="3"/>
        <v>138</v>
      </c>
      <c r="G35" s="3">
        <f t="shared" si="3"/>
        <v>45</v>
      </c>
      <c r="H35" s="3">
        <f t="shared" si="3"/>
        <v>18</v>
      </c>
      <c r="I35" s="3">
        <f t="shared" si="3"/>
        <v>13</v>
      </c>
      <c r="J35" s="3">
        <f t="shared" si="3"/>
        <v>183</v>
      </c>
      <c r="K35" s="3">
        <f t="shared" si="3"/>
        <v>20</v>
      </c>
      <c r="L35" s="117">
        <f t="shared" si="2"/>
        <v>494</v>
      </c>
    </row>
    <row r="36" spans="1:12" ht="13.5" thickTop="1" x14ac:dyDescent="0.2">
      <c r="B36" s="58" t="s">
        <v>14</v>
      </c>
      <c r="C36" s="38">
        <f t="shared" ref="C36:K36" si="4">SUM(C31:C35)</f>
        <v>345</v>
      </c>
      <c r="D36" s="38">
        <f t="shared" si="4"/>
        <v>234</v>
      </c>
      <c r="E36" s="38">
        <f t="shared" si="4"/>
        <v>432</v>
      </c>
      <c r="F36" s="38">
        <f t="shared" si="4"/>
        <v>830</v>
      </c>
      <c r="G36" s="38">
        <f>SUM(G31:G35)</f>
        <v>420</v>
      </c>
      <c r="H36" s="38">
        <f t="shared" si="4"/>
        <v>277</v>
      </c>
      <c r="I36" s="38">
        <f t="shared" si="4"/>
        <v>22</v>
      </c>
      <c r="J36" s="38">
        <f t="shared" si="4"/>
        <v>742</v>
      </c>
      <c r="K36" s="38">
        <f t="shared" si="4"/>
        <v>37</v>
      </c>
      <c r="L36" s="80">
        <f t="shared" si="2"/>
        <v>3339</v>
      </c>
    </row>
    <row r="38" spans="1:12" x14ac:dyDescent="0.2">
      <c r="A38" s="137" t="s">
        <v>56</v>
      </c>
      <c r="B38" s="138"/>
      <c r="C38" s="33">
        <v>1</v>
      </c>
      <c r="D38" s="33">
        <v>4</v>
      </c>
      <c r="E38" s="33">
        <v>10</v>
      </c>
      <c r="F38" s="56">
        <v>18</v>
      </c>
      <c r="G38" s="56">
        <v>12</v>
      </c>
      <c r="H38" s="56">
        <v>0</v>
      </c>
      <c r="I38" s="56">
        <v>0</v>
      </c>
      <c r="J38" s="56">
        <v>11</v>
      </c>
      <c r="K38" s="56">
        <v>0</v>
      </c>
      <c r="L38" s="120">
        <f>SUM(C38:K38)</f>
        <v>56</v>
      </c>
    </row>
    <row r="39" spans="1:12" x14ac:dyDescent="0.2">
      <c r="A39" s="60" t="s">
        <v>148</v>
      </c>
      <c r="B39" s="50"/>
      <c r="C39" s="38">
        <v>0</v>
      </c>
      <c r="D39" s="38"/>
      <c r="E39" s="38"/>
      <c r="F39" s="220">
        <v>42</v>
      </c>
      <c r="G39" s="220"/>
      <c r="H39" s="220"/>
      <c r="I39" s="220">
        <v>0</v>
      </c>
      <c r="J39" s="220">
        <v>0</v>
      </c>
      <c r="K39" s="220">
        <v>0</v>
      </c>
      <c r="L39" s="221">
        <f>SUM(C39:K39)</f>
        <v>42</v>
      </c>
    </row>
    <row r="40" spans="1:12" x14ac:dyDescent="0.2">
      <c r="A40" s="60"/>
      <c r="B40" s="50" t="s">
        <v>7</v>
      </c>
      <c r="C40" s="29">
        <f>SUM(C38:C39)</f>
        <v>1</v>
      </c>
      <c r="D40" s="29">
        <f t="shared" ref="D40:K40" si="5">SUM(D38:D39)</f>
        <v>4</v>
      </c>
      <c r="E40" s="29">
        <f t="shared" si="5"/>
        <v>10</v>
      </c>
      <c r="F40" s="29">
        <f t="shared" si="5"/>
        <v>60</v>
      </c>
      <c r="G40" s="29">
        <f t="shared" si="5"/>
        <v>12</v>
      </c>
      <c r="H40" s="179">
        <f>SUM(H38:H39)</f>
        <v>0</v>
      </c>
      <c r="I40" s="29">
        <f t="shared" si="5"/>
        <v>0</v>
      </c>
      <c r="J40" s="29">
        <f t="shared" si="5"/>
        <v>11</v>
      </c>
      <c r="K40" s="29">
        <f t="shared" si="5"/>
        <v>0</v>
      </c>
      <c r="L40" s="121">
        <f>SUM(L38:L39)</f>
        <v>98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/>
      <c r="D42" s="122"/>
      <c r="E42" s="122"/>
      <c r="F42" s="123"/>
      <c r="G42" s="123"/>
      <c r="H42" s="123"/>
      <c r="I42" s="123"/>
      <c r="J42" s="123"/>
      <c r="K42" s="123"/>
      <c r="L42" s="124">
        <f>SUM(C42:K42)</f>
        <v>0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0</v>
      </c>
      <c r="F44" s="33">
        <v>1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4">
        <f>SUM(C44:K44)</f>
        <v>1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0</v>
      </c>
      <c r="F45" s="38">
        <v>2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f>SUM(C45:K45)</f>
        <v>2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/>
      <c r="D49" s="122"/>
      <c r="E49" s="122"/>
      <c r="F49" s="129"/>
      <c r="G49" s="129">
        <v>7</v>
      </c>
      <c r="H49" s="129">
        <v>1</v>
      </c>
      <c r="I49" s="129">
        <v>6</v>
      </c>
      <c r="J49" s="129">
        <v>10</v>
      </c>
      <c r="K49" s="129"/>
      <c r="L49" s="130">
        <f t="shared" ref="L49:L75" si="6">SUM(C49:K49)</f>
        <v>24</v>
      </c>
    </row>
    <row r="50" spans="2:12" x14ac:dyDescent="0.2">
      <c r="B50" s="100" t="s">
        <v>113</v>
      </c>
      <c r="C50" s="122"/>
      <c r="D50" s="122"/>
      <c r="E50" s="129"/>
      <c r="F50" s="122"/>
      <c r="G50" s="122"/>
      <c r="H50" s="122"/>
      <c r="I50" s="122"/>
      <c r="J50" s="122"/>
      <c r="K50" s="122"/>
      <c r="L50" s="130">
        <f t="shared" si="6"/>
        <v>0</v>
      </c>
    </row>
    <row r="51" spans="2:12" x14ac:dyDescent="0.2">
      <c r="B51" s="100" t="s">
        <v>103</v>
      </c>
      <c r="C51" s="122"/>
      <c r="D51" s="122"/>
      <c r="E51" s="122"/>
      <c r="F51" s="122">
        <v>66</v>
      </c>
      <c r="G51" s="129"/>
      <c r="H51" s="129"/>
      <c r="I51" s="122"/>
      <c r="J51" s="122">
        <v>56</v>
      </c>
      <c r="K51" s="129"/>
      <c r="L51" s="130">
        <f t="shared" si="6"/>
        <v>122</v>
      </c>
    </row>
    <row r="52" spans="2:12" x14ac:dyDescent="0.2">
      <c r="B52" s="100" t="s">
        <v>137</v>
      </c>
      <c r="C52" s="122"/>
      <c r="D52" s="122"/>
      <c r="E52" s="122"/>
      <c r="F52" s="122"/>
      <c r="G52" s="129"/>
      <c r="H52" s="122"/>
      <c r="I52" s="122"/>
      <c r="J52" s="122"/>
      <c r="K52" s="129"/>
      <c r="L52" s="130">
        <f t="shared" si="6"/>
        <v>0</v>
      </c>
    </row>
    <row r="53" spans="2:12" x14ac:dyDescent="0.2">
      <c r="B53" s="100" t="s">
        <v>149</v>
      </c>
      <c r="C53" s="129">
        <v>3</v>
      </c>
      <c r="D53" s="122">
        <v>1</v>
      </c>
      <c r="E53" s="122">
        <v>3</v>
      </c>
      <c r="F53" s="122"/>
      <c r="G53" s="129">
        <v>4</v>
      </c>
      <c r="H53" s="122"/>
      <c r="I53" s="122">
        <v>2</v>
      </c>
      <c r="J53" s="122">
        <v>9</v>
      </c>
      <c r="K53" s="129"/>
      <c r="L53" s="130">
        <f t="shared" si="6"/>
        <v>22</v>
      </c>
    </row>
    <row r="54" spans="2:12" x14ac:dyDescent="0.2">
      <c r="B54" s="100" t="s">
        <v>104</v>
      </c>
      <c r="C54" s="129"/>
      <c r="D54" s="122"/>
      <c r="E54" s="129">
        <v>3</v>
      </c>
      <c r="F54" s="129">
        <v>9</v>
      </c>
      <c r="G54" s="129">
        <v>1</v>
      </c>
      <c r="H54" s="122"/>
      <c r="I54" s="122"/>
      <c r="J54" s="122">
        <v>8</v>
      </c>
      <c r="K54" s="122"/>
      <c r="L54" s="130">
        <f t="shared" si="6"/>
        <v>21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/>
      <c r="D56" s="122"/>
      <c r="E56" s="129"/>
      <c r="F56" s="129"/>
      <c r="G56" s="129"/>
      <c r="H56" s="129"/>
      <c r="I56" s="129"/>
      <c r="J56" s="129"/>
      <c r="K56" s="129"/>
      <c r="L56" s="130">
        <f t="shared" si="6"/>
        <v>0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6"/>
        <v>0</v>
      </c>
    </row>
    <row r="58" spans="2:12" x14ac:dyDescent="0.2">
      <c r="B58" s="100" t="s">
        <v>102</v>
      </c>
      <c r="C58" s="122"/>
      <c r="D58" s="122"/>
      <c r="E58" s="129"/>
      <c r="F58" s="129"/>
      <c r="G58" s="129"/>
      <c r="H58" s="129"/>
      <c r="I58" s="122"/>
      <c r="J58" s="122"/>
      <c r="K58" s="129"/>
      <c r="L58" s="130">
        <f t="shared" si="6"/>
        <v>0</v>
      </c>
    </row>
    <row r="59" spans="2:12" x14ac:dyDescent="0.2">
      <c r="B59" s="100" t="s">
        <v>105</v>
      </c>
      <c r="C59" s="122"/>
      <c r="D59" s="122"/>
      <c r="E59" s="129"/>
      <c r="F59" s="129"/>
      <c r="G59" s="129"/>
      <c r="H59" s="129"/>
      <c r="I59" s="122"/>
      <c r="J59" s="122"/>
      <c r="K59" s="129"/>
      <c r="L59" s="130">
        <f t="shared" si="6"/>
        <v>0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6"/>
        <v>0</v>
      </c>
    </row>
    <row r="61" spans="2:12" x14ac:dyDescent="0.2">
      <c r="B61" s="111" t="s">
        <v>41</v>
      </c>
      <c r="C61" s="122">
        <v>1</v>
      </c>
      <c r="D61" s="122">
        <v>2</v>
      </c>
      <c r="E61" s="129">
        <v>1</v>
      </c>
      <c r="F61" s="129">
        <v>7</v>
      </c>
      <c r="G61" s="129"/>
      <c r="H61" s="129">
        <v>2</v>
      </c>
      <c r="I61" s="129"/>
      <c r="J61" s="129">
        <v>9</v>
      </c>
      <c r="K61" s="129">
        <v>1</v>
      </c>
      <c r="L61" s="130">
        <f t="shared" si="6"/>
        <v>23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6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/>
      <c r="H64" s="129"/>
      <c r="I64" s="129"/>
      <c r="J64" s="129"/>
      <c r="K64" s="129"/>
      <c r="L64" s="130">
        <f t="shared" si="6"/>
        <v>0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/>
      <c r="I65" s="129"/>
      <c r="J65" s="129"/>
      <c r="K65" s="129"/>
      <c r="L65" s="130">
        <f t="shared" si="6"/>
        <v>0</v>
      </c>
    </row>
    <row r="66" spans="1:13" x14ac:dyDescent="0.2">
      <c r="B66" s="111" t="s">
        <v>80</v>
      </c>
      <c r="C66" s="129">
        <v>6</v>
      </c>
      <c r="D66" s="129">
        <v>13</v>
      </c>
      <c r="E66" s="129">
        <v>21</v>
      </c>
      <c r="F66" s="129">
        <v>48</v>
      </c>
      <c r="G66" s="129">
        <v>26</v>
      </c>
      <c r="H66" s="129">
        <v>13</v>
      </c>
      <c r="I66" s="129">
        <v>2</v>
      </c>
      <c r="J66" s="129">
        <v>70</v>
      </c>
      <c r="K66" s="129">
        <v>15</v>
      </c>
      <c r="L66" s="130">
        <f t="shared" si="6"/>
        <v>214</v>
      </c>
    </row>
    <row r="67" spans="1:13" x14ac:dyDescent="0.2">
      <c r="B67" s="100" t="s">
        <v>151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30">
        <f t="shared" si="6"/>
        <v>0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/>
      <c r="D69" s="122"/>
      <c r="E69" s="129"/>
      <c r="F69" s="129"/>
      <c r="G69" s="129"/>
      <c r="H69" s="129"/>
      <c r="I69" s="129"/>
      <c r="J69" s="129">
        <v>1</v>
      </c>
      <c r="K69" s="129"/>
      <c r="L69" s="130">
        <f t="shared" si="6"/>
        <v>1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6"/>
        <v>0</v>
      </c>
    </row>
    <row r="71" spans="1:13" x14ac:dyDescent="0.2">
      <c r="B71" s="100" t="s">
        <v>43</v>
      </c>
      <c r="C71" s="129">
        <v>1</v>
      </c>
      <c r="D71" s="122">
        <v>2</v>
      </c>
      <c r="E71" s="129">
        <v>4</v>
      </c>
      <c r="F71" s="129">
        <v>1</v>
      </c>
      <c r="G71" s="129">
        <v>3</v>
      </c>
      <c r="H71" s="129">
        <v>2</v>
      </c>
      <c r="I71" s="129">
        <v>3</v>
      </c>
      <c r="J71" s="129">
        <v>9</v>
      </c>
      <c r="K71" s="129"/>
      <c r="L71" s="130">
        <f t="shared" si="6"/>
        <v>25</v>
      </c>
    </row>
    <row r="72" spans="1:13" x14ac:dyDescent="0.2">
      <c r="B72" s="100" t="s">
        <v>42</v>
      </c>
      <c r="C72" s="122">
        <v>2</v>
      </c>
      <c r="D72" s="122">
        <v>2</v>
      </c>
      <c r="E72" s="122">
        <v>11</v>
      </c>
      <c r="F72" s="129">
        <v>7</v>
      </c>
      <c r="G72" s="122">
        <v>4</v>
      </c>
      <c r="H72" s="129"/>
      <c r="I72" s="129"/>
      <c r="J72" s="129">
        <v>9</v>
      </c>
      <c r="K72" s="129">
        <v>4</v>
      </c>
      <c r="L72" s="130">
        <f t="shared" si="6"/>
        <v>39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6"/>
        <v>0</v>
      </c>
    </row>
    <row r="75" spans="1:13" ht="13.5" thickBot="1" x14ac:dyDescent="0.25">
      <c r="B75" s="66" t="s">
        <v>66</v>
      </c>
      <c r="C75" s="3"/>
      <c r="D75" s="3"/>
      <c r="E75" s="3">
        <v>1</v>
      </c>
      <c r="F75" s="3"/>
      <c r="G75" s="3"/>
      <c r="H75" s="3"/>
      <c r="I75" s="3"/>
      <c r="J75" s="3">
        <v>2</v>
      </c>
      <c r="K75" s="3"/>
      <c r="L75" s="176">
        <f t="shared" si="6"/>
        <v>3</v>
      </c>
    </row>
    <row r="76" spans="1:13" ht="13.5" thickTop="1" x14ac:dyDescent="0.2">
      <c r="B76" s="58" t="s">
        <v>7</v>
      </c>
      <c r="C76" s="38">
        <f t="shared" ref="C76:L76" si="7">SUM(C49:C75)</f>
        <v>13</v>
      </c>
      <c r="D76" s="38">
        <f t="shared" si="7"/>
        <v>20</v>
      </c>
      <c r="E76" s="38">
        <f t="shared" si="7"/>
        <v>44</v>
      </c>
      <c r="F76" s="38">
        <f t="shared" si="7"/>
        <v>138</v>
      </c>
      <c r="G76" s="38">
        <f t="shared" si="7"/>
        <v>45</v>
      </c>
      <c r="H76" s="38">
        <f t="shared" si="7"/>
        <v>18</v>
      </c>
      <c r="I76" s="38">
        <f t="shared" si="7"/>
        <v>13</v>
      </c>
      <c r="J76" s="38">
        <f t="shared" si="7"/>
        <v>183</v>
      </c>
      <c r="K76" s="38">
        <f t="shared" si="7"/>
        <v>20</v>
      </c>
      <c r="L76" s="38">
        <f t="shared" si="7"/>
        <v>494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47259</v>
      </c>
      <c r="C82" s="29">
        <f>86+42+23</f>
        <v>151</v>
      </c>
      <c r="D82" s="29">
        <v>1460</v>
      </c>
      <c r="E82" s="4">
        <f>4+43+14+8+83+25+30+67+30+1</f>
        <v>305</v>
      </c>
      <c r="F82" s="4">
        <f>55+3+20+4+2+1+5+4+5+2+2+38+16+11+4+63+3+4+2+9+3+10+2+6+19+4+8+1+15+2+24+7+1+7+3+12+13+9+3+24+5+3+1+2+3+14</f>
        <v>454</v>
      </c>
      <c r="G82" s="29">
        <v>1026</v>
      </c>
      <c r="H82" s="4">
        <f>20+175+2217</f>
        <v>2412</v>
      </c>
      <c r="I82" s="4">
        <v>94</v>
      </c>
      <c r="J82" s="29">
        <v>17</v>
      </c>
      <c r="K82" s="4" t="s">
        <v>158</v>
      </c>
      <c r="L82" s="4">
        <v>641</v>
      </c>
      <c r="M82" s="36">
        <f>SUM(B82:L82)</f>
        <v>53819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/>
      <c r="L84" s="29"/>
    </row>
    <row r="85" spans="1:13" x14ac:dyDescent="0.2">
      <c r="A85" s="29"/>
      <c r="B85" s="29"/>
      <c r="C85" s="29"/>
      <c r="D85" s="29"/>
      <c r="E85" s="29"/>
      <c r="F85" s="29"/>
      <c r="G85" s="47" t="s">
        <v>240</v>
      </c>
      <c r="H85" s="29"/>
      <c r="J85" s="29"/>
      <c r="K85" s="29"/>
      <c r="L85" s="29"/>
    </row>
    <row r="86" spans="1:13" x14ac:dyDescent="0.2">
      <c r="A86" s="137" t="s">
        <v>86</v>
      </c>
      <c r="B86" s="138"/>
      <c r="C86" s="64">
        <v>187</v>
      </c>
      <c r="F86" s="137" t="s">
        <v>48</v>
      </c>
      <c r="G86" s="138"/>
      <c r="H86" s="64">
        <v>8</v>
      </c>
      <c r="J86" s="137" t="s">
        <v>73</v>
      </c>
      <c r="K86" s="142"/>
      <c r="L86" s="142"/>
      <c r="M86" s="34"/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8</v>
      </c>
      <c r="J87" s="140" t="s">
        <v>74</v>
      </c>
      <c r="K87" s="152"/>
      <c r="L87" s="152"/>
      <c r="M87" s="39"/>
    </row>
    <row r="88" spans="1:13" x14ac:dyDescent="0.2">
      <c r="A88" s="140" t="s">
        <v>87</v>
      </c>
      <c r="B88" s="152"/>
      <c r="C88" s="39">
        <v>7509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f>4</f>
        <v>4</v>
      </c>
      <c r="D91" s="6"/>
      <c r="E91" s="31" t="s">
        <v>9</v>
      </c>
      <c r="F91" s="29"/>
      <c r="G91" s="36">
        <f>398+37</f>
        <v>435</v>
      </c>
      <c r="I91" s="35" t="s">
        <v>127</v>
      </c>
      <c r="J91" s="29"/>
      <c r="K91" s="29"/>
      <c r="L91" s="36">
        <v>674</v>
      </c>
      <c r="M91" s="6"/>
    </row>
    <row r="92" spans="1:13" x14ac:dyDescent="0.2">
      <c r="A92" s="35" t="s">
        <v>28</v>
      </c>
      <c r="B92" s="29"/>
      <c r="C92" s="36">
        <v>2</v>
      </c>
      <c r="D92" s="6"/>
      <c r="E92" s="31" t="s">
        <v>10</v>
      </c>
      <c r="F92" s="29"/>
      <c r="G92" s="36">
        <f>126+68</f>
        <v>194</v>
      </c>
      <c r="I92" s="35" t="s">
        <v>128</v>
      </c>
      <c r="J92" s="29"/>
      <c r="K92" s="29"/>
      <c r="L92" s="36">
        <v>102</v>
      </c>
      <c r="M92" s="6"/>
    </row>
    <row r="93" spans="1:13" x14ac:dyDescent="0.2">
      <c r="A93" s="35" t="s">
        <v>118</v>
      </c>
      <c r="B93" s="29"/>
      <c r="C93" s="36">
        <f>46+6+2</f>
        <v>54</v>
      </c>
      <c r="D93" s="6"/>
      <c r="E93" s="31" t="s">
        <v>11</v>
      </c>
      <c r="F93" s="29"/>
      <c r="G93" s="36">
        <v>7</v>
      </c>
      <c r="I93" s="35" t="s">
        <v>45</v>
      </c>
      <c r="J93" s="29"/>
      <c r="K93" s="29"/>
      <c r="L93" s="36">
        <v>11</v>
      </c>
      <c r="M93" s="6"/>
    </row>
    <row r="94" spans="1:13" x14ac:dyDescent="0.2">
      <c r="A94" s="35" t="s">
        <v>119</v>
      </c>
      <c r="B94" s="47"/>
      <c r="C94" s="36">
        <f>699+41+11</f>
        <v>751</v>
      </c>
      <c r="D94" s="6"/>
      <c r="E94" s="31" t="s">
        <v>37</v>
      </c>
      <c r="F94" s="29"/>
      <c r="G94" s="36">
        <f>212+12</f>
        <v>224</v>
      </c>
      <c r="I94" s="35" t="s">
        <v>46</v>
      </c>
      <c r="J94" s="29"/>
      <c r="K94" s="29"/>
      <c r="L94" s="36">
        <v>6</v>
      </c>
      <c r="M94" s="6"/>
    </row>
    <row r="95" spans="1:13" x14ac:dyDescent="0.2">
      <c r="A95" s="35" t="s">
        <v>101</v>
      </c>
      <c r="B95" s="47"/>
      <c r="C95" s="36">
        <f>32+3+18+3</f>
        <v>56</v>
      </c>
      <c r="D95" s="6"/>
      <c r="E95" s="41" t="s">
        <v>38</v>
      </c>
      <c r="F95" s="38"/>
      <c r="G95" s="39"/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f>4</f>
        <v>4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f>42+4</f>
        <v>46</v>
      </c>
    </row>
    <row r="98" spans="1:13" x14ac:dyDescent="0.2">
      <c r="A98" s="35" t="s">
        <v>120</v>
      </c>
      <c r="B98" s="29"/>
      <c r="C98" s="36">
        <v>0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35</v>
      </c>
    </row>
    <row r="100" spans="1:13" x14ac:dyDescent="0.2">
      <c r="A100" s="89" t="s">
        <v>122</v>
      </c>
      <c r="B100" s="47"/>
      <c r="C100" s="36">
        <v>1</v>
      </c>
      <c r="E100" s="35" t="s">
        <v>32</v>
      </c>
      <c r="F100" s="47"/>
      <c r="G100" s="47"/>
      <c r="H100" s="42">
        <v>33</v>
      </c>
    </row>
    <row r="101" spans="1:13" x14ac:dyDescent="0.2">
      <c r="A101" s="89" t="s">
        <v>18</v>
      </c>
      <c r="B101" s="29"/>
      <c r="C101" s="51">
        <v>12</v>
      </c>
      <c r="E101" s="37" t="s">
        <v>47</v>
      </c>
      <c r="F101" s="55"/>
      <c r="G101" s="38"/>
      <c r="H101" s="39">
        <v>0</v>
      </c>
      <c r="I101" s="2"/>
      <c r="J101" s="1"/>
    </row>
    <row r="102" spans="1:13" x14ac:dyDescent="0.2">
      <c r="A102" s="91" t="s">
        <v>20</v>
      </c>
      <c r="B102" s="38"/>
      <c r="C102" s="39">
        <f>235+70+77</f>
        <v>382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2"/>
      <c r="J103" s="1"/>
    </row>
    <row r="104" spans="1:13" x14ac:dyDescent="0.2">
      <c r="A104" s="79"/>
      <c r="B104" s="29"/>
      <c r="C104" s="29"/>
      <c r="I104" s="2"/>
      <c r="J104" s="1"/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1818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7</v>
      </c>
      <c r="E108" s="111">
        <v>142</v>
      </c>
      <c r="F108" s="31"/>
      <c r="H108" s="1"/>
      <c r="I108" s="60" t="s">
        <v>133</v>
      </c>
      <c r="J108" s="50"/>
      <c r="L108">
        <v>184</v>
      </c>
      <c r="M108" s="36"/>
    </row>
    <row r="109" spans="1:13" x14ac:dyDescent="0.2">
      <c r="A109" s="1"/>
      <c r="B109" s="228" t="s">
        <v>97</v>
      </c>
      <c r="C109" s="229"/>
      <c r="D109" s="15">
        <v>466</v>
      </c>
      <c r="E109" s="157"/>
      <c r="F109" s="31"/>
      <c r="I109" s="60" t="s">
        <v>212</v>
      </c>
      <c r="K109" s="29"/>
      <c r="L109" s="29"/>
      <c r="M109" s="36"/>
    </row>
    <row r="110" spans="1:13" x14ac:dyDescent="0.2">
      <c r="B110" s="194" t="s">
        <v>348</v>
      </c>
      <c r="C110" s="15"/>
      <c r="D110" s="15">
        <v>199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132</v>
      </c>
      <c r="E111" s="112"/>
      <c r="F111" s="160"/>
      <c r="I111" s="60" t="s">
        <v>145</v>
      </c>
      <c r="J111" s="50"/>
      <c r="K111" s="50"/>
      <c r="L111" s="47">
        <v>91</v>
      </c>
      <c r="M111" s="63"/>
    </row>
    <row r="112" spans="1:13" x14ac:dyDescent="0.2">
      <c r="A112" s="1"/>
      <c r="B112" s="224"/>
      <c r="C112" s="225"/>
      <c r="D112" s="15"/>
      <c r="E112" s="112"/>
      <c r="F112" s="160"/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5" t="s">
        <v>110</v>
      </c>
      <c r="C113" s="196"/>
      <c r="D113" s="30">
        <v>157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43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29</v>
      </c>
      <c r="E115" s="115"/>
      <c r="F115" s="161"/>
      <c r="I115" s="87" t="s">
        <v>111</v>
      </c>
      <c r="J115" s="33"/>
      <c r="K115" s="88">
        <v>2166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213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/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9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6</v>
      </c>
      <c r="E120" s="114">
        <v>52</v>
      </c>
      <c r="F120" s="163"/>
      <c r="I120" s="95" t="s">
        <v>22</v>
      </c>
      <c r="J120" s="86"/>
      <c r="K120" s="29">
        <v>5</v>
      </c>
      <c r="L120" s="29">
        <v>3</v>
      </c>
      <c r="M120" s="94">
        <f>SUM(K120:L120)</f>
        <v>8</v>
      </c>
    </row>
    <row r="121" spans="1:13" x14ac:dyDescent="0.2">
      <c r="B121" s="100" t="s">
        <v>144</v>
      </c>
      <c r="D121" s="13">
        <v>2</v>
      </c>
      <c r="E121" s="111"/>
      <c r="F121" s="31"/>
      <c r="I121" s="171" t="s">
        <v>169</v>
      </c>
      <c r="J121" s="86"/>
      <c r="K121" s="29">
        <v>0</v>
      </c>
      <c r="L121" s="29">
        <v>0</v>
      </c>
      <c r="M121" s="94">
        <f>SUM(K121:L121)</f>
        <v>0</v>
      </c>
    </row>
    <row r="122" spans="1:13" x14ac:dyDescent="0.2">
      <c r="A122" s="1"/>
      <c r="B122" s="32" t="s">
        <v>159</v>
      </c>
      <c r="C122" s="13"/>
      <c r="D122" s="13">
        <v>48</v>
      </c>
      <c r="E122" s="115"/>
      <c r="F122" s="162"/>
      <c r="I122" s="171" t="s">
        <v>170</v>
      </c>
      <c r="J122" s="86"/>
      <c r="K122" s="29">
        <v>0</v>
      </c>
      <c r="L122" s="29">
        <v>0</v>
      </c>
      <c r="M122" s="94">
        <f>SUM(K122:L122)</f>
        <v>0</v>
      </c>
    </row>
    <row r="123" spans="1:13" x14ac:dyDescent="0.2">
      <c r="A123" s="1"/>
      <c r="B123" s="101" t="s">
        <v>135</v>
      </c>
      <c r="C123" s="13"/>
      <c r="D123" s="13">
        <v>198</v>
      </c>
      <c r="E123" s="158"/>
      <c r="F123" s="162"/>
      <c r="I123" s="172" t="s">
        <v>23</v>
      </c>
      <c r="J123" s="173"/>
      <c r="K123" s="93">
        <v>25</v>
      </c>
      <c r="L123" s="93">
        <v>1</v>
      </c>
      <c r="M123" s="174">
        <f>SUM(K123:L123)</f>
        <v>26</v>
      </c>
    </row>
    <row r="124" spans="1:13" x14ac:dyDescent="0.2">
      <c r="A124" s="1"/>
      <c r="B124" s="101" t="s">
        <v>141</v>
      </c>
      <c r="C124" s="13"/>
      <c r="D124" s="13">
        <v>159</v>
      </c>
      <c r="E124" s="158"/>
      <c r="F124" s="162"/>
      <c r="I124" s="171" t="s">
        <v>146</v>
      </c>
      <c r="J124" s="86"/>
      <c r="K124" s="4">
        <v>0</v>
      </c>
      <c r="L124" s="4">
        <v>0</v>
      </c>
      <c r="M124" s="94">
        <f>SUM(K124:L124)</f>
        <v>0</v>
      </c>
    </row>
    <row r="125" spans="1:13" x14ac:dyDescent="0.2">
      <c r="A125" s="1"/>
      <c r="B125" s="101" t="s">
        <v>126</v>
      </c>
      <c r="C125" s="13"/>
      <c r="D125" s="13">
        <v>20</v>
      </c>
      <c r="E125" s="158"/>
      <c r="F125" s="162"/>
      <c r="I125" s="96" t="s">
        <v>274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/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SUM(D107:D125)</f>
        <v>3293</v>
      </c>
      <c r="E127">
        <f>SUM(E107:E126)</f>
        <v>194</v>
      </c>
      <c r="I127" s="132" t="s">
        <v>106</v>
      </c>
      <c r="J127" s="139"/>
      <c r="K127" s="105">
        <v>3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4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v>104</v>
      </c>
      <c r="D134" s="29">
        <v>31</v>
      </c>
      <c r="E134" s="29">
        <v>536</v>
      </c>
      <c r="F134" s="4">
        <v>500</v>
      </c>
      <c r="G134" s="4">
        <v>139</v>
      </c>
      <c r="H134" s="4">
        <v>19</v>
      </c>
      <c r="I134" s="4">
        <v>70</v>
      </c>
      <c r="J134" s="4">
        <v>166</v>
      </c>
      <c r="K134" s="4">
        <v>357</v>
      </c>
      <c r="L134" s="51">
        <f>SUM(C134:K134)</f>
        <v>1922</v>
      </c>
    </row>
    <row r="135" spans="1:13" x14ac:dyDescent="0.2">
      <c r="A135" s="31"/>
      <c r="B135" s="50" t="s">
        <v>9</v>
      </c>
      <c r="C135" s="169" t="s">
        <v>158</v>
      </c>
      <c r="D135" s="169" t="s">
        <v>158</v>
      </c>
      <c r="E135" s="169" t="s">
        <v>158</v>
      </c>
      <c r="F135" s="170">
        <v>95</v>
      </c>
      <c r="G135" s="170" t="s">
        <v>158</v>
      </c>
      <c r="H135" s="170" t="s">
        <v>158</v>
      </c>
      <c r="I135" s="170" t="s">
        <v>158</v>
      </c>
      <c r="J135" s="170">
        <v>119</v>
      </c>
      <c r="K135" s="170" t="s">
        <v>158</v>
      </c>
      <c r="L135" s="51">
        <f>SUM(C135:K135)</f>
        <v>214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0</v>
      </c>
      <c r="E136" s="155">
        <v>5</v>
      </c>
      <c r="F136" s="155">
        <v>8</v>
      </c>
      <c r="G136" s="155">
        <v>0</v>
      </c>
      <c r="H136" s="155">
        <v>0</v>
      </c>
      <c r="I136" s="168" t="s">
        <v>158</v>
      </c>
      <c r="J136" s="155">
        <v>0</v>
      </c>
      <c r="K136" s="155">
        <v>0</v>
      </c>
      <c r="L136" s="155">
        <f>SUM(C136:K136)</f>
        <v>13</v>
      </c>
    </row>
    <row r="137" spans="1:13" ht="13.5" thickTop="1" x14ac:dyDescent="0.2">
      <c r="A137" s="31"/>
      <c r="B137" s="50" t="s">
        <v>14</v>
      </c>
      <c r="C137" s="29">
        <f>SUM(C134:C136)</f>
        <v>104</v>
      </c>
      <c r="D137" s="29">
        <f t="shared" ref="D137:L137" si="8">SUM(D134:D136)</f>
        <v>31</v>
      </c>
      <c r="E137" s="29">
        <f t="shared" si="8"/>
        <v>541</v>
      </c>
      <c r="F137" s="29">
        <f t="shared" si="8"/>
        <v>603</v>
      </c>
      <c r="G137" s="29">
        <f t="shared" si="8"/>
        <v>139</v>
      </c>
      <c r="H137" s="29">
        <f t="shared" si="8"/>
        <v>19</v>
      </c>
      <c r="I137" s="29">
        <f t="shared" si="8"/>
        <v>70</v>
      </c>
      <c r="J137" s="29">
        <f t="shared" si="8"/>
        <v>285</v>
      </c>
      <c r="K137" s="29">
        <f t="shared" si="8"/>
        <v>357</v>
      </c>
      <c r="L137" s="29">
        <f t="shared" si="8"/>
        <v>2149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46"/>
      <c r="B143" s="20"/>
      <c r="C143" s="20"/>
      <c r="D143" s="20"/>
      <c r="E143" s="20"/>
      <c r="F143" s="21"/>
      <c r="G143" s="127" t="s">
        <v>171</v>
      </c>
      <c r="H143" s="22"/>
      <c r="I143" s="68"/>
      <c r="J143" s="69"/>
      <c r="K143" s="70"/>
      <c r="L143" s="70"/>
      <c r="M143" s="103"/>
    </row>
    <row r="144" spans="1:13" ht="18" x14ac:dyDescent="0.25">
      <c r="A144" s="27" t="s">
        <v>154</v>
      </c>
      <c r="B144" s="20"/>
      <c r="C144" s="20"/>
      <c r="D144" s="20"/>
      <c r="E144" s="20"/>
      <c r="F144" s="68"/>
      <c r="G144" s="69"/>
      <c r="H144" s="68"/>
      <c r="I144" s="68"/>
      <c r="J144" s="68"/>
      <c r="K144" s="71"/>
      <c r="L144" s="71"/>
      <c r="M144" s="72"/>
    </row>
    <row r="145" spans="1:13" x14ac:dyDescent="0.2">
      <c r="A145" s="125" t="s">
        <v>167</v>
      </c>
      <c r="B145" s="20"/>
      <c r="C145" s="20"/>
      <c r="D145" s="20"/>
      <c r="E145" s="20"/>
      <c r="F145" s="21"/>
      <c r="G145" s="28" t="s">
        <v>155</v>
      </c>
      <c r="H145" s="68"/>
      <c r="I145" s="68"/>
      <c r="J145" s="68"/>
      <c r="K145" s="71"/>
      <c r="L145" s="71"/>
      <c r="M145" s="72"/>
    </row>
    <row r="146" spans="1:13" x14ac:dyDescent="0.2">
      <c r="A146" s="126" t="s">
        <v>175</v>
      </c>
      <c r="B146" s="29"/>
      <c r="C146" s="29"/>
      <c r="D146" s="29"/>
      <c r="E146" s="29"/>
      <c r="F146" s="29"/>
      <c r="G146" s="127" t="s">
        <v>168</v>
      </c>
      <c r="H146" s="29"/>
      <c r="I146" s="29"/>
      <c r="J146" s="29"/>
      <c r="K146" s="29"/>
      <c r="L146" s="29"/>
      <c r="M146" s="36"/>
    </row>
    <row r="147" spans="1:13" ht="18" x14ac:dyDescent="0.25">
      <c r="A147" s="125" t="s">
        <v>179</v>
      </c>
      <c r="B147" s="74"/>
      <c r="C147" s="20"/>
      <c r="D147" s="20"/>
      <c r="E147" s="20"/>
      <c r="F147" s="68"/>
      <c r="G147" s="127" t="s">
        <v>177</v>
      </c>
      <c r="H147" s="68"/>
      <c r="I147" s="22"/>
      <c r="J147" s="45"/>
      <c r="K147" s="20"/>
      <c r="L147" s="20"/>
      <c r="M147" s="23"/>
    </row>
    <row r="148" spans="1:13" ht="18" x14ac:dyDescent="0.25">
      <c r="A148" s="125" t="s">
        <v>180</v>
      </c>
      <c r="B148" s="20"/>
      <c r="C148" s="20"/>
      <c r="D148" s="20"/>
      <c r="E148" s="20"/>
      <c r="F148" s="68"/>
      <c r="G148" s="127" t="s">
        <v>183</v>
      </c>
      <c r="H148" s="22"/>
      <c r="I148" s="68"/>
      <c r="J148" s="68"/>
      <c r="K148" s="20"/>
      <c r="L148" s="20"/>
      <c r="M148" s="23"/>
    </row>
    <row r="149" spans="1:13" ht="18" x14ac:dyDescent="0.25">
      <c r="A149" s="125"/>
      <c r="B149" s="74"/>
      <c r="C149" s="20"/>
      <c r="D149" s="20"/>
      <c r="E149" s="20"/>
      <c r="F149" s="20"/>
      <c r="G149" s="127"/>
      <c r="H149" s="22"/>
      <c r="I149" s="22"/>
      <c r="J149" s="22"/>
      <c r="K149" s="22"/>
      <c r="L149" s="20"/>
      <c r="M149" s="23"/>
    </row>
    <row r="150" spans="1:13" x14ac:dyDescent="0.2">
      <c r="A150" s="126"/>
      <c r="B150" s="28"/>
      <c r="C150" s="28"/>
      <c r="D150" s="20"/>
      <c r="E150" s="28"/>
      <c r="F150" s="77"/>
      <c r="G150" s="28" t="s">
        <v>101</v>
      </c>
      <c r="H150" s="29"/>
      <c r="I150" s="68"/>
      <c r="J150" s="68"/>
      <c r="K150" s="20"/>
      <c r="L150" s="20"/>
      <c r="M150" s="23"/>
    </row>
    <row r="151" spans="1:13" x14ac:dyDescent="0.2">
      <c r="A151" s="125"/>
      <c r="B151" s="20"/>
      <c r="C151" s="20"/>
      <c r="D151" s="20"/>
      <c r="E151" s="20"/>
      <c r="F151" s="77"/>
      <c r="G151" s="175" t="s">
        <v>176</v>
      </c>
      <c r="H151" s="29"/>
      <c r="I151" s="68"/>
      <c r="J151" s="68"/>
      <c r="K151" s="20"/>
      <c r="L151" s="20"/>
      <c r="M151" s="23"/>
    </row>
    <row r="152" spans="1:13" x14ac:dyDescent="0.2">
      <c r="A152" s="46"/>
      <c r="B152" s="20"/>
      <c r="C152" s="20"/>
      <c r="D152" s="20"/>
      <c r="E152" s="20"/>
      <c r="F152" s="77"/>
      <c r="G152" s="178" t="s">
        <v>184</v>
      </c>
      <c r="K152" s="20"/>
      <c r="L152" s="20"/>
      <c r="M152" s="23"/>
    </row>
    <row r="153" spans="1:13" ht="18" x14ac:dyDescent="0.25">
      <c r="A153" s="116" t="s">
        <v>157</v>
      </c>
      <c r="B153" s="29"/>
      <c r="C153" s="29"/>
      <c r="D153" s="29"/>
      <c r="E153" s="29"/>
      <c r="F153" s="21"/>
      <c r="G153" s="127"/>
      <c r="H153" s="29"/>
      <c r="I153" s="22"/>
      <c r="J153" s="22"/>
      <c r="K153" s="20"/>
      <c r="L153" s="20"/>
      <c r="M153" s="23"/>
    </row>
    <row r="154" spans="1:13" x14ac:dyDescent="0.2">
      <c r="A154" s="126" t="s">
        <v>178</v>
      </c>
      <c r="B154" s="20"/>
      <c r="C154" s="20"/>
      <c r="D154" s="20"/>
      <c r="E154" s="20"/>
      <c r="F154" s="21"/>
      <c r="G154" s="28" t="s">
        <v>19</v>
      </c>
      <c r="H154" s="29"/>
      <c r="I154" s="68"/>
      <c r="J154" s="68"/>
      <c r="K154" s="71"/>
      <c r="L154" s="71"/>
      <c r="M154" s="72"/>
    </row>
    <row r="155" spans="1:13" x14ac:dyDescent="0.2">
      <c r="A155" s="126" t="s">
        <v>173</v>
      </c>
      <c r="B155" s="20"/>
      <c r="C155" s="20"/>
      <c r="D155" s="20"/>
      <c r="E155" s="20"/>
      <c r="F155" s="21"/>
      <c r="G155" s="175" t="s">
        <v>172</v>
      </c>
      <c r="H155" s="29"/>
      <c r="I155" s="68"/>
      <c r="J155" s="68"/>
      <c r="K155" s="71"/>
      <c r="L155" s="71"/>
      <c r="M155" s="72"/>
    </row>
    <row r="156" spans="1:13" x14ac:dyDescent="0.2">
      <c r="A156" s="126" t="s">
        <v>174</v>
      </c>
      <c r="B156" s="20"/>
      <c r="C156" s="20"/>
      <c r="D156" s="20"/>
      <c r="E156" s="20"/>
      <c r="F156" s="21"/>
      <c r="G156" s="127"/>
      <c r="H156" s="29"/>
      <c r="I156" s="68"/>
      <c r="J156" s="68"/>
      <c r="K156" s="71"/>
      <c r="L156" s="71"/>
      <c r="M156" s="72"/>
    </row>
    <row r="157" spans="1:13" ht="18" x14ac:dyDescent="0.25">
      <c r="A157" s="125"/>
      <c r="B157" s="20"/>
      <c r="C157" s="20"/>
      <c r="D157" s="20"/>
      <c r="E157" s="20"/>
      <c r="F157" s="21"/>
      <c r="G157" s="109" t="s">
        <v>156</v>
      </c>
      <c r="H157" s="29"/>
      <c r="I157" s="22"/>
      <c r="J157" s="22"/>
      <c r="K157" s="71"/>
      <c r="L157" s="71"/>
      <c r="M157" s="72"/>
    </row>
    <row r="158" spans="1:13" x14ac:dyDescent="0.2">
      <c r="A158" s="125"/>
      <c r="B158" s="20"/>
      <c r="C158" s="20"/>
      <c r="D158" s="29"/>
      <c r="E158" s="29"/>
      <c r="F158" s="29"/>
      <c r="G158" s="127" t="s">
        <v>181</v>
      </c>
      <c r="H158" s="29"/>
      <c r="I158" s="29"/>
      <c r="J158" s="29"/>
      <c r="K158" s="29"/>
      <c r="L158" s="29"/>
      <c r="M158" s="36"/>
    </row>
    <row r="159" spans="1:13" x14ac:dyDescent="0.2">
      <c r="A159" s="125"/>
      <c r="B159" s="20"/>
      <c r="C159" s="20"/>
      <c r="D159" s="20"/>
      <c r="E159" s="20"/>
      <c r="F159" s="21"/>
      <c r="G159" s="177" t="s">
        <v>182</v>
      </c>
      <c r="H159" s="29"/>
      <c r="I159" s="29"/>
      <c r="J159" s="29"/>
      <c r="K159" s="71"/>
      <c r="L159" s="71"/>
      <c r="M159" s="72"/>
    </row>
    <row r="160" spans="1:13" x14ac:dyDescent="0.2">
      <c r="A160" s="125"/>
      <c r="B160" s="28"/>
      <c r="C160" s="28"/>
      <c r="D160" s="20"/>
      <c r="E160" s="20"/>
      <c r="F160" s="21"/>
      <c r="G160" s="29"/>
      <c r="H160" s="29"/>
      <c r="I160" s="68"/>
      <c r="J160" s="68"/>
      <c r="K160" s="71"/>
      <c r="L160" s="71"/>
      <c r="M160" s="72"/>
    </row>
    <row r="161" spans="1:13" x14ac:dyDescent="0.2">
      <c r="A161" s="125"/>
      <c r="B161" s="20"/>
      <c r="C161" s="20"/>
      <c r="D161" s="20"/>
      <c r="E161" s="74"/>
      <c r="F161" s="20"/>
      <c r="G161" s="29"/>
      <c r="H161" s="29"/>
      <c r="I161" s="20"/>
      <c r="J161" s="68"/>
      <c r="K161" s="29"/>
      <c r="L161" s="29"/>
      <c r="M161" s="36"/>
    </row>
    <row r="162" spans="1:13" ht="18" x14ac:dyDescent="0.25">
      <c r="A162" s="31"/>
      <c r="B162" s="20"/>
      <c r="C162" s="20"/>
      <c r="D162" s="20"/>
      <c r="E162" s="20"/>
      <c r="F162" s="68"/>
      <c r="G162" s="29"/>
      <c r="H162" s="69"/>
      <c r="I162" s="69"/>
      <c r="J162" s="69"/>
      <c r="K162" s="70"/>
      <c r="L162" s="70"/>
      <c r="M162" s="23"/>
    </row>
    <row r="163" spans="1:13" ht="18" x14ac:dyDescent="0.25">
      <c r="A163" s="31"/>
      <c r="B163" s="20"/>
      <c r="C163" s="20"/>
      <c r="D163" s="20"/>
      <c r="E163" s="74"/>
      <c r="F163" s="68"/>
      <c r="G163" s="29"/>
      <c r="H163" s="69"/>
      <c r="I163" s="68"/>
      <c r="J163" s="69"/>
      <c r="K163" s="70"/>
      <c r="L163" s="70"/>
      <c r="M163" s="23"/>
    </row>
    <row r="164" spans="1:13" ht="18" x14ac:dyDescent="0.25">
      <c r="A164" s="107"/>
      <c r="B164" s="24"/>
      <c r="C164" s="24"/>
      <c r="D164" s="24"/>
      <c r="E164" s="102"/>
      <c r="F164" s="76"/>
      <c r="G164" s="108"/>
      <c r="H164" s="108"/>
      <c r="I164" s="76"/>
      <c r="J164" s="108"/>
      <c r="K164" s="75"/>
      <c r="L164" s="75"/>
      <c r="M164" s="99"/>
    </row>
    <row r="165" spans="1:13" x14ac:dyDescent="0.2">
      <c r="A165" s="74"/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0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19:C119"/>
    <mergeCell ref="B112:C112"/>
    <mergeCell ref="B108:C108"/>
    <mergeCell ref="B109:C109"/>
    <mergeCell ref="B116:C116"/>
    <mergeCell ref="B117:C117"/>
    <mergeCell ref="B118:C118"/>
  </mergeCells>
  <pageMargins left="0.5" right="0.5" top="0.5" bottom="0.5" header="0.3" footer="0.5"/>
  <pageSetup fitToHeight="0" orientation="landscape" r:id="rId1"/>
  <headerFooter>
    <oddHeader>&amp;C
&amp;RJuly.
 2016
 - Page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zoomScaleNormal="100" workbookViewId="0">
      <selection activeCell="M9" sqref="M9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>
        <v>42826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84</v>
      </c>
      <c r="D7" s="29">
        <v>13</v>
      </c>
      <c r="E7" s="29">
        <v>204</v>
      </c>
      <c r="F7" s="61">
        <v>604</v>
      </c>
      <c r="G7" s="61">
        <v>85</v>
      </c>
      <c r="H7" s="61">
        <v>0</v>
      </c>
      <c r="I7" s="61">
        <v>1</v>
      </c>
      <c r="J7" s="61">
        <v>278</v>
      </c>
      <c r="K7" s="61">
        <v>26</v>
      </c>
      <c r="L7" s="166"/>
      <c r="M7" s="51">
        <f>SUM(C7:L7)</f>
        <v>1295</v>
      </c>
    </row>
    <row r="8" spans="1:18" x14ac:dyDescent="0.2">
      <c r="A8" s="31"/>
      <c r="B8" s="47" t="s">
        <v>146</v>
      </c>
      <c r="C8" s="29">
        <v>5</v>
      </c>
      <c r="D8" s="29">
        <v>0</v>
      </c>
      <c r="E8" s="29">
        <v>29</v>
      </c>
      <c r="F8" s="61">
        <v>54</v>
      </c>
      <c r="G8" s="61">
        <v>9</v>
      </c>
      <c r="H8" s="61">
        <v>0</v>
      </c>
      <c r="I8" s="61">
        <v>0</v>
      </c>
      <c r="J8" s="61">
        <v>55</v>
      </c>
      <c r="K8" s="61">
        <v>0</v>
      </c>
      <c r="L8" s="167">
        <v>41</v>
      </c>
      <c r="M8" s="51">
        <f>SUM(C8:L8)</f>
        <v>193</v>
      </c>
    </row>
    <row r="9" spans="1:18" ht="13.5" thickBot="1" x14ac:dyDescent="0.25">
      <c r="A9" s="31"/>
      <c r="B9" s="47" t="s">
        <v>147</v>
      </c>
      <c r="C9" s="3">
        <v>16</v>
      </c>
      <c r="D9" s="3">
        <v>0</v>
      </c>
      <c r="E9" s="3">
        <v>9</v>
      </c>
      <c r="F9" s="3">
        <v>48</v>
      </c>
      <c r="G9" s="3">
        <v>25</v>
      </c>
      <c r="H9" s="3">
        <v>0</v>
      </c>
      <c r="I9" s="3">
        <v>0</v>
      </c>
      <c r="J9" s="3">
        <v>29</v>
      </c>
      <c r="K9" s="3">
        <v>5</v>
      </c>
      <c r="L9" s="168"/>
      <c r="M9" s="51">
        <f>SUM(C9:L9)</f>
        <v>132</v>
      </c>
    </row>
    <row r="10" spans="1:18" ht="13.5" thickTop="1" x14ac:dyDescent="0.2">
      <c r="A10" s="41"/>
      <c r="B10" s="55" t="s">
        <v>14</v>
      </c>
      <c r="C10" s="38">
        <f>SUM(C7:C9)</f>
        <v>105</v>
      </c>
      <c r="D10" s="38">
        <f>SUM(D7:D9)</f>
        <v>13</v>
      </c>
      <c r="E10" s="38">
        <f>SUM(E7:E9)</f>
        <v>242</v>
      </c>
      <c r="F10" s="38">
        <f>SUM(F7:F9)</f>
        <v>706</v>
      </c>
      <c r="G10" s="38">
        <f>SUM(G7:G9)</f>
        <v>119</v>
      </c>
      <c r="H10" s="38">
        <f t="shared" ref="H10:I10" si="0">SUM(H7,H9)</f>
        <v>0</v>
      </c>
      <c r="I10" s="38">
        <f t="shared" si="0"/>
        <v>1</v>
      </c>
      <c r="J10" s="38">
        <f>SUM(J7:J9)</f>
        <v>362</v>
      </c>
      <c r="K10" s="38">
        <f>SUM(K7:K9)</f>
        <v>31</v>
      </c>
      <c r="L10" s="38">
        <f>SUM(L7:L9)</f>
        <v>41</v>
      </c>
      <c r="M10" s="39">
        <f>SUM(C10:L10)</f>
        <v>1620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3375</v>
      </c>
      <c r="D12" s="123">
        <v>83</v>
      </c>
      <c r="E12" s="122">
        <v>14229</v>
      </c>
      <c r="F12" s="123">
        <v>11829</v>
      </c>
      <c r="G12" s="123">
        <v>9275</v>
      </c>
      <c r="H12" s="123">
        <v>103</v>
      </c>
      <c r="I12" s="123">
        <v>59</v>
      </c>
      <c r="J12" s="123">
        <v>11181</v>
      </c>
      <c r="K12" s="123">
        <v>1857</v>
      </c>
      <c r="L12" s="123"/>
      <c r="M12" s="124">
        <f>SUM(C12:K12)</f>
        <v>51991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81</v>
      </c>
      <c r="D19" s="29">
        <v>1</v>
      </c>
      <c r="E19" s="29">
        <v>122</v>
      </c>
      <c r="F19" s="4">
        <v>222</v>
      </c>
      <c r="G19" s="4">
        <v>84</v>
      </c>
      <c r="H19" s="4">
        <v>1</v>
      </c>
      <c r="I19" s="4">
        <v>5</v>
      </c>
      <c r="J19" s="4">
        <v>68</v>
      </c>
      <c r="K19" s="4">
        <v>44</v>
      </c>
      <c r="L19" s="36">
        <f>SUM(C19:K19)</f>
        <v>628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0</v>
      </c>
      <c r="D21" s="4">
        <v>1</v>
      </c>
      <c r="E21" s="4">
        <v>18</v>
      </c>
      <c r="F21" s="4">
        <v>17</v>
      </c>
      <c r="G21" s="4">
        <v>19</v>
      </c>
      <c r="H21" s="4">
        <v>1</v>
      </c>
      <c r="I21" s="4">
        <v>0</v>
      </c>
      <c r="J21" s="4">
        <v>30</v>
      </c>
      <c r="K21" s="4">
        <v>0</v>
      </c>
      <c r="L21" s="51">
        <f>SUM(C21:K21)</f>
        <v>86</v>
      </c>
    </row>
    <row r="22" spans="1:13" x14ac:dyDescent="0.2">
      <c r="A22" s="31"/>
      <c r="B22" s="29" t="s">
        <v>10</v>
      </c>
      <c r="C22" s="4">
        <v>6</v>
      </c>
      <c r="D22" s="4">
        <v>4</v>
      </c>
      <c r="E22" s="4">
        <v>15</v>
      </c>
      <c r="F22" s="4">
        <v>59</v>
      </c>
      <c r="G22" s="4">
        <v>19</v>
      </c>
      <c r="H22" s="4">
        <v>2</v>
      </c>
      <c r="I22" s="4">
        <v>2</v>
      </c>
      <c r="J22" s="4">
        <v>26</v>
      </c>
      <c r="K22" s="4">
        <v>4</v>
      </c>
      <c r="L22" s="51">
        <f>SUM(C22:K22)</f>
        <v>137</v>
      </c>
    </row>
    <row r="23" spans="1:13" ht="13.5" thickBot="1" x14ac:dyDescent="0.25">
      <c r="A23" s="31"/>
      <c r="B23" s="29" t="s">
        <v>9</v>
      </c>
      <c r="C23" s="3">
        <v>130</v>
      </c>
      <c r="D23" s="3">
        <v>87</v>
      </c>
      <c r="E23" s="3">
        <v>306</v>
      </c>
      <c r="F23" s="3">
        <v>326</v>
      </c>
      <c r="G23" s="3">
        <v>176</v>
      </c>
      <c r="H23" s="3">
        <v>12</v>
      </c>
      <c r="I23" s="3">
        <v>12</v>
      </c>
      <c r="J23" s="3">
        <v>602</v>
      </c>
      <c r="K23" s="3">
        <v>168</v>
      </c>
      <c r="L23" s="49">
        <f>SUM(C23:K23)</f>
        <v>1819</v>
      </c>
    </row>
    <row r="24" spans="1:13" ht="13.5" thickTop="1" x14ac:dyDescent="0.2">
      <c r="A24" s="31"/>
      <c r="B24" s="50" t="s">
        <v>14</v>
      </c>
      <c r="C24" s="29">
        <f>SUM(C19:C23)</f>
        <v>218</v>
      </c>
      <c r="D24" s="29">
        <f t="shared" ref="D24:L24" si="1">SUM(D19:D23)</f>
        <v>93</v>
      </c>
      <c r="E24" s="29">
        <f t="shared" si="1"/>
        <v>462</v>
      </c>
      <c r="F24" s="29">
        <f t="shared" si="1"/>
        <v>624</v>
      </c>
      <c r="G24" s="29">
        <f t="shared" si="1"/>
        <v>299</v>
      </c>
      <c r="H24" s="29">
        <f t="shared" si="1"/>
        <v>16</v>
      </c>
      <c r="I24" s="29">
        <f t="shared" si="1"/>
        <v>19</v>
      </c>
      <c r="J24" s="29">
        <f t="shared" si="1"/>
        <v>726</v>
      </c>
      <c r="K24" s="29">
        <f t="shared" si="1"/>
        <v>221</v>
      </c>
      <c r="L24" s="36">
        <f t="shared" si="1"/>
        <v>2678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333</v>
      </c>
      <c r="M26" s="156" t="s">
        <v>14</v>
      </c>
    </row>
    <row r="27" spans="1:13" x14ac:dyDescent="0.2">
      <c r="A27" s="132" t="s">
        <v>34</v>
      </c>
      <c r="B27" s="139"/>
      <c r="C27" s="73">
        <v>63</v>
      </c>
      <c r="D27" s="73">
        <v>3.5</v>
      </c>
      <c r="E27" s="73">
        <v>85.74</v>
      </c>
      <c r="F27" s="73">
        <v>44</v>
      </c>
      <c r="G27" s="73">
        <v>45.25</v>
      </c>
      <c r="H27" s="73">
        <v>0</v>
      </c>
      <c r="I27" s="73">
        <v>0</v>
      </c>
      <c r="J27" s="73">
        <v>56.5</v>
      </c>
      <c r="K27" s="73">
        <v>11.75</v>
      </c>
      <c r="L27" s="73">
        <f>6+40.75</f>
        <v>46.75</v>
      </c>
      <c r="M27" s="118">
        <f>SUM(C27:L27)</f>
        <v>356.49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39</v>
      </c>
      <c r="D31" s="29">
        <v>4</v>
      </c>
      <c r="E31" s="29">
        <v>76</v>
      </c>
      <c r="F31" s="4">
        <v>199</v>
      </c>
      <c r="G31" s="4">
        <v>173</v>
      </c>
      <c r="H31" s="4">
        <v>151</v>
      </c>
      <c r="I31" s="4">
        <v>3</v>
      </c>
      <c r="J31" s="4">
        <v>185</v>
      </c>
      <c r="K31" s="4">
        <v>69</v>
      </c>
      <c r="L31" s="51">
        <f t="shared" ref="L31:L36" si="2">SUM(C31:K31)</f>
        <v>899</v>
      </c>
    </row>
    <row r="32" spans="1:13" x14ac:dyDescent="0.2">
      <c r="B32" s="60" t="s">
        <v>18</v>
      </c>
      <c r="C32" s="29">
        <v>14</v>
      </c>
      <c r="D32" s="29">
        <v>2</v>
      </c>
      <c r="E32" s="29">
        <v>47</v>
      </c>
      <c r="F32" s="4">
        <v>38</v>
      </c>
      <c r="G32" s="4">
        <v>28</v>
      </c>
      <c r="H32" s="4">
        <v>18</v>
      </c>
      <c r="I32" s="4">
        <v>1</v>
      </c>
      <c r="J32" s="4">
        <v>35</v>
      </c>
      <c r="K32" s="4">
        <v>9</v>
      </c>
      <c r="L32" s="51">
        <f t="shared" si="2"/>
        <v>192</v>
      </c>
    </row>
    <row r="33" spans="1:12" x14ac:dyDescent="0.2">
      <c r="B33" s="60" t="s">
        <v>20</v>
      </c>
      <c r="C33" s="29">
        <v>213</v>
      </c>
      <c r="D33" s="29">
        <v>246</v>
      </c>
      <c r="E33" s="29">
        <v>557</v>
      </c>
      <c r="F33" s="29">
        <v>352</v>
      </c>
      <c r="G33" s="4">
        <v>267</v>
      </c>
      <c r="H33" s="4">
        <v>25</v>
      </c>
      <c r="I33" s="4">
        <v>50</v>
      </c>
      <c r="J33" s="4">
        <v>372</v>
      </c>
      <c r="K33" s="29">
        <v>131</v>
      </c>
      <c r="L33" s="51">
        <f t="shared" si="2"/>
        <v>2213</v>
      </c>
    </row>
    <row r="34" spans="1:12" x14ac:dyDescent="0.2">
      <c r="B34" s="60" t="s">
        <v>108</v>
      </c>
      <c r="C34" s="4">
        <f>28+63</f>
        <v>91</v>
      </c>
      <c r="D34" s="4">
        <f>24+25</f>
        <v>49</v>
      </c>
      <c r="E34" s="4">
        <f>9+28</f>
        <v>37</v>
      </c>
      <c r="F34" s="4">
        <f>37+16</f>
        <v>53</v>
      </c>
      <c r="G34" s="4">
        <f>26+17</f>
        <v>43</v>
      </c>
      <c r="H34" s="4">
        <f>26+44</f>
        <v>70</v>
      </c>
      <c r="I34" s="4">
        <f>5+14</f>
        <v>19</v>
      </c>
      <c r="J34">
        <f>23+53</f>
        <v>76</v>
      </c>
      <c r="K34" s="4">
        <f>34+34</f>
        <v>68</v>
      </c>
      <c r="L34" s="51">
        <f t="shared" si="2"/>
        <v>506</v>
      </c>
    </row>
    <row r="35" spans="1:12" ht="13.5" thickBot="1" x14ac:dyDescent="0.25">
      <c r="B35" s="119" t="s">
        <v>19</v>
      </c>
      <c r="C35" s="3">
        <f t="shared" ref="C35:F35" si="3">C76</f>
        <v>20</v>
      </c>
      <c r="D35" s="3">
        <f t="shared" si="3"/>
        <v>17</v>
      </c>
      <c r="E35" s="3">
        <f t="shared" si="3"/>
        <v>54</v>
      </c>
      <c r="F35" s="3">
        <f t="shared" si="3"/>
        <v>67</v>
      </c>
      <c r="G35" s="3">
        <f>G76</f>
        <v>45</v>
      </c>
      <c r="H35" s="3">
        <f t="shared" ref="H35:K35" si="4">H76</f>
        <v>8</v>
      </c>
      <c r="I35" s="3">
        <f t="shared" si="4"/>
        <v>6</v>
      </c>
      <c r="J35" s="3">
        <f t="shared" si="4"/>
        <v>160</v>
      </c>
      <c r="K35" s="3">
        <f t="shared" si="4"/>
        <v>23</v>
      </c>
      <c r="L35" s="117">
        <f t="shared" si="2"/>
        <v>400</v>
      </c>
    </row>
    <row r="36" spans="1:12" ht="13.5" thickTop="1" x14ac:dyDescent="0.2">
      <c r="B36" s="58" t="s">
        <v>14</v>
      </c>
      <c r="C36" s="38">
        <f t="shared" ref="C36:K36" si="5">SUM(C31:C35)</f>
        <v>377</v>
      </c>
      <c r="D36" s="38">
        <f t="shared" si="5"/>
        <v>318</v>
      </c>
      <c r="E36" s="38">
        <f t="shared" si="5"/>
        <v>771</v>
      </c>
      <c r="F36" s="38">
        <f t="shared" si="5"/>
        <v>709</v>
      </c>
      <c r="G36" s="38">
        <f>SUM(G31:G35)</f>
        <v>556</v>
      </c>
      <c r="H36" s="38">
        <f t="shared" si="5"/>
        <v>272</v>
      </c>
      <c r="I36" s="38">
        <f t="shared" si="5"/>
        <v>79</v>
      </c>
      <c r="J36" s="38">
        <f t="shared" si="5"/>
        <v>828</v>
      </c>
      <c r="K36" s="38">
        <f t="shared" si="5"/>
        <v>300</v>
      </c>
      <c r="L36" s="80">
        <f t="shared" si="2"/>
        <v>4210</v>
      </c>
    </row>
    <row r="38" spans="1:12" x14ac:dyDescent="0.2">
      <c r="A38" s="137" t="s">
        <v>56</v>
      </c>
      <c r="B38" s="138"/>
      <c r="C38" s="33">
        <v>5</v>
      </c>
      <c r="D38" s="33">
        <v>5</v>
      </c>
      <c r="E38" s="33">
        <v>7</v>
      </c>
      <c r="F38" s="56">
        <v>15</v>
      </c>
      <c r="G38" s="56">
        <v>2</v>
      </c>
      <c r="H38" s="56">
        <v>0</v>
      </c>
      <c r="I38" s="56">
        <v>0</v>
      </c>
      <c r="J38" s="56">
        <v>20</v>
      </c>
      <c r="K38" s="56">
        <v>0</v>
      </c>
      <c r="L38" s="120">
        <f>SUM(C38:K38)</f>
        <v>54</v>
      </c>
    </row>
    <row r="39" spans="1:12" x14ac:dyDescent="0.2">
      <c r="A39" s="60" t="s">
        <v>148</v>
      </c>
      <c r="B39" s="50"/>
      <c r="C39" s="29">
        <v>0</v>
      </c>
      <c r="D39" s="29">
        <v>0</v>
      </c>
      <c r="E39" s="29">
        <v>0</v>
      </c>
      <c r="F39" s="106">
        <v>39</v>
      </c>
      <c r="G39" s="106">
        <v>0</v>
      </c>
      <c r="H39" s="106">
        <v>17</v>
      </c>
      <c r="I39" s="106">
        <v>0</v>
      </c>
      <c r="J39" s="106">
        <v>438</v>
      </c>
      <c r="K39" s="106"/>
      <c r="L39" s="121">
        <f>SUM(C39:K39)</f>
        <v>494</v>
      </c>
    </row>
    <row r="40" spans="1:12" x14ac:dyDescent="0.2">
      <c r="A40" s="60"/>
      <c r="B40" s="50" t="s">
        <v>7</v>
      </c>
      <c r="C40" s="29">
        <f>SUM(C38:C39)</f>
        <v>5</v>
      </c>
      <c r="D40" s="29">
        <f t="shared" ref="D40:K40" si="6">SUM(D38:D39)</f>
        <v>5</v>
      </c>
      <c r="E40" s="29">
        <f t="shared" si="6"/>
        <v>7</v>
      </c>
      <c r="F40" s="29">
        <f t="shared" si="6"/>
        <v>54</v>
      </c>
      <c r="G40" s="29">
        <f t="shared" si="6"/>
        <v>2</v>
      </c>
      <c r="H40" s="179">
        <f>SUM(H38:H39)</f>
        <v>17</v>
      </c>
      <c r="I40" s="29">
        <f t="shared" si="6"/>
        <v>0</v>
      </c>
      <c r="J40" s="29">
        <f t="shared" si="6"/>
        <v>458</v>
      </c>
      <c r="K40" s="29">
        <f t="shared" si="6"/>
        <v>0</v>
      </c>
      <c r="L40" s="121">
        <f>SUM(L38:L39)</f>
        <v>548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9</v>
      </c>
      <c r="F42" s="123">
        <v>29</v>
      </c>
      <c r="G42" s="123">
        <v>0</v>
      </c>
      <c r="H42" s="123">
        <v>0</v>
      </c>
      <c r="I42" s="123">
        <v>0</v>
      </c>
      <c r="J42" s="123">
        <v>33</v>
      </c>
      <c r="K42" s="123">
        <v>0</v>
      </c>
      <c r="L42" s="124">
        <f>SUM(C42:K42)</f>
        <v>71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4">
        <f>SUM(C44:K44)</f>
        <v>0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f>SUM(C45:K45)</f>
        <v>0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>
        <v>3</v>
      </c>
      <c r="D49" s="122">
        <v>4</v>
      </c>
      <c r="E49" s="122">
        <v>2</v>
      </c>
      <c r="F49" s="129">
        <v>4</v>
      </c>
      <c r="G49" s="129">
        <v>3</v>
      </c>
      <c r="H49" s="129">
        <v>2</v>
      </c>
      <c r="I49" s="129">
        <v>1</v>
      </c>
      <c r="J49" s="129">
        <v>37</v>
      </c>
      <c r="K49" s="129">
        <v>1</v>
      </c>
      <c r="L49" s="130">
        <f t="shared" ref="L49:L75" si="7">SUM(C49:K49)</f>
        <v>57</v>
      </c>
    </row>
    <row r="50" spans="2:12" x14ac:dyDescent="0.2">
      <c r="B50" s="100" t="s">
        <v>113</v>
      </c>
      <c r="C50" s="122">
        <v>2</v>
      </c>
      <c r="D50" s="122"/>
      <c r="E50" s="129">
        <v>2</v>
      </c>
      <c r="F50" s="122"/>
      <c r="G50" s="122">
        <v>5</v>
      </c>
      <c r="H50" s="122"/>
      <c r="I50" s="122"/>
      <c r="J50" s="122">
        <v>1</v>
      </c>
      <c r="K50" s="122"/>
      <c r="L50" s="130">
        <f t="shared" si="7"/>
        <v>10</v>
      </c>
    </row>
    <row r="51" spans="2:12" x14ac:dyDescent="0.2">
      <c r="B51" s="100" t="s">
        <v>103</v>
      </c>
      <c r="C51" s="122"/>
      <c r="D51" s="122"/>
      <c r="E51" s="122"/>
      <c r="F51" s="122">
        <v>3</v>
      </c>
      <c r="G51" s="129"/>
      <c r="H51" s="129"/>
      <c r="I51" s="122"/>
      <c r="J51" s="122">
        <v>5</v>
      </c>
      <c r="K51" s="129"/>
      <c r="L51" s="130">
        <f t="shared" si="7"/>
        <v>8</v>
      </c>
    </row>
    <row r="52" spans="2:12" x14ac:dyDescent="0.2">
      <c r="B52" s="100" t="s">
        <v>137</v>
      </c>
      <c r="C52" s="122"/>
      <c r="D52" s="122">
        <v>5</v>
      </c>
      <c r="E52" s="122"/>
      <c r="F52" s="122"/>
      <c r="G52" s="129"/>
      <c r="H52" s="122"/>
      <c r="I52" s="122"/>
      <c r="J52" s="122">
        <v>4</v>
      </c>
      <c r="K52" s="129"/>
      <c r="L52" s="130">
        <f t="shared" si="7"/>
        <v>9</v>
      </c>
    </row>
    <row r="53" spans="2:12" x14ac:dyDescent="0.2">
      <c r="B53" s="100" t="s">
        <v>149</v>
      </c>
      <c r="C53" s="129"/>
      <c r="D53" s="122"/>
      <c r="E53" s="122"/>
      <c r="F53" s="122"/>
      <c r="G53" s="129"/>
      <c r="H53" s="122">
        <v>1</v>
      </c>
      <c r="I53" s="122"/>
      <c r="J53" s="122"/>
      <c r="K53" s="129">
        <v>3</v>
      </c>
      <c r="L53" s="130">
        <f t="shared" si="7"/>
        <v>4</v>
      </c>
    </row>
    <row r="54" spans="2:12" x14ac:dyDescent="0.2">
      <c r="B54" s="100" t="s">
        <v>104</v>
      </c>
      <c r="C54" s="129"/>
      <c r="D54" s="122"/>
      <c r="E54" s="129"/>
      <c r="F54" s="129"/>
      <c r="G54" s="129"/>
      <c r="H54" s="122"/>
      <c r="I54" s="122"/>
      <c r="J54" s="122">
        <v>2</v>
      </c>
      <c r="K54" s="122"/>
      <c r="L54" s="130">
        <f t="shared" si="7"/>
        <v>2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/>
      <c r="D56" s="122"/>
      <c r="E56" s="129"/>
      <c r="F56" s="129"/>
      <c r="G56" s="129"/>
      <c r="H56" s="129"/>
      <c r="I56" s="129"/>
      <c r="J56" s="129"/>
      <c r="K56" s="129"/>
      <c r="L56" s="130">
        <f t="shared" si="7"/>
        <v>0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7"/>
        <v>0</v>
      </c>
    </row>
    <row r="58" spans="2:12" x14ac:dyDescent="0.2">
      <c r="B58" s="100" t="s">
        <v>102</v>
      </c>
      <c r="C58" s="122"/>
      <c r="D58" s="122"/>
      <c r="E58" s="129"/>
      <c r="F58" s="129"/>
      <c r="G58" s="129"/>
      <c r="H58" s="129"/>
      <c r="I58" s="122"/>
      <c r="J58" s="122"/>
      <c r="K58" s="129"/>
      <c r="L58" s="130">
        <f t="shared" si="7"/>
        <v>0</v>
      </c>
    </row>
    <row r="59" spans="2:12" x14ac:dyDescent="0.2">
      <c r="B59" s="100" t="s">
        <v>105</v>
      </c>
      <c r="C59" s="122">
        <v>1</v>
      </c>
      <c r="D59" s="122"/>
      <c r="E59" s="129">
        <v>12</v>
      </c>
      <c r="F59" s="129"/>
      <c r="G59" s="129">
        <v>4</v>
      </c>
      <c r="H59" s="129"/>
      <c r="I59" s="122">
        <v>1</v>
      </c>
      <c r="J59" s="122">
        <v>11</v>
      </c>
      <c r="K59" s="129"/>
      <c r="L59" s="130">
        <f t="shared" si="7"/>
        <v>29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7"/>
        <v>0</v>
      </c>
    </row>
    <row r="61" spans="2:12" x14ac:dyDescent="0.2">
      <c r="B61" s="111" t="s">
        <v>41</v>
      </c>
      <c r="C61" s="122"/>
      <c r="D61" s="122">
        <v>1</v>
      </c>
      <c r="E61" s="129">
        <v>7</v>
      </c>
      <c r="F61" s="129">
        <v>6</v>
      </c>
      <c r="G61" s="129">
        <v>9</v>
      </c>
      <c r="H61" s="129"/>
      <c r="I61" s="129"/>
      <c r="J61" s="129">
        <v>9</v>
      </c>
      <c r="K61" s="129"/>
      <c r="L61" s="130">
        <f t="shared" si="7"/>
        <v>32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7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7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/>
      <c r="H64" s="129"/>
      <c r="I64" s="129"/>
      <c r="J64" s="129"/>
      <c r="K64" s="129"/>
      <c r="L64" s="130">
        <f t="shared" si="7"/>
        <v>0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>
        <v>1</v>
      </c>
      <c r="I65" s="129"/>
      <c r="J65" s="129"/>
      <c r="K65" s="129"/>
      <c r="L65" s="130">
        <f t="shared" si="7"/>
        <v>1</v>
      </c>
    </row>
    <row r="66" spans="1:13" x14ac:dyDescent="0.2">
      <c r="B66" s="111" t="s">
        <v>80</v>
      </c>
      <c r="C66" s="129">
        <v>13</v>
      </c>
      <c r="D66" s="129">
        <v>4</v>
      </c>
      <c r="E66" s="129">
        <v>17</v>
      </c>
      <c r="F66" s="129">
        <v>29</v>
      </c>
      <c r="G66" s="129">
        <v>17</v>
      </c>
      <c r="H66" s="129">
        <v>2</v>
      </c>
      <c r="I66" s="129">
        <v>4</v>
      </c>
      <c r="J66" s="129">
        <v>70</v>
      </c>
      <c r="K66" s="129">
        <v>18</v>
      </c>
      <c r="L66" s="130">
        <f t="shared" si="7"/>
        <v>174</v>
      </c>
    </row>
    <row r="67" spans="1:13" x14ac:dyDescent="0.2">
      <c r="B67" s="100" t="s">
        <v>151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30">
        <f t="shared" si="7"/>
        <v>0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7"/>
        <v>0</v>
      </c>
    </row>
    <row r="69" spans="1:13" x14ac:dyDescent="0.2">
      <c r="B69" s="100" t="s">
        <v>89</v>
      </c>
      <c r="C69" s="129">
        <v>1</v>
      </c>
      <c r="D69" s="122">
        <v>2</v>
      </c>
      <c r="E69" s="129">
        <v>10</v>
      </c>
      <c r="F69" s="129">
        <v>16</v>
      </c>
      <c r="G69" s="129"/>
      <c r="H69" s="129">
        <v>2</v>
      </c>
      <c r="I69" s="129"/>
      <c r="J69" s="129">
        <v>6</v>
      </c>
      <c r="K69" s="129"/>
      <c r="L69" s="130">
        <f t="shared" si="7"/>
        <v>37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7"/>
        <v>0</v>
      </c>
    </row>
    <row r="71" spans="1:13" x14ac:dyDescent="0.2">
      <c r="B71" s="100" t="s">
        <v>43</v>
      </c>
      <c r="C71" s="129"/>
      <c r="D71" s="122">
        <v>1</v>
      </c>
      <c r="E71" s="129">
        <v>4</v>
      </c>
      <c r="F71" s="129">
        <v>5</v>
      </c>
      <c r="G71" s="129">
        <v>4</v>
      </c>
      <c r="H71" s="129"/>
      <c r="I71" s="129"/>
      <c r="J71" s="129">
        <v>8</v>
      </c>
      <c r="K71" s="129"/>
      <c r="L71" s="130">
        <f t="shared" si="7"/>
        <v>22</v>
      </c>
    </row>
    <row r="72" spans="1:13" x14ac:dyDescent="0.2">
      <c r="B72" s="100" t="s">
        <v>42</v>
      </c>
      <c r="C72" s="122"/>
      <c r="D72" s="122"/>
      <c r="E72" s="122"/>
      <c r="F72" s="129"/>
      <c r="G72" s="122"/>
      <c r="H72" s="129"/>
      <c r="I72" s="129"/>
      <c r="J72" s="129"/>
      <c r="K72" s="129"/>
      <c r="L72" s="130">
        <f t="shared" si="7"/>
        <v>0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>
        <v>1</v>
      </c>
      <c r="L73" s="130">
        <f t="shared" si="7"/>
        <v>1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7"/>
        <v>0</v>
      </c>
    </row>
    <row r="75" spans="1:13" ht="13.5" thickBot="1" x14ac:dyDescent="0.25">
      <c r="B75" s="66" t="s">
        <v>66</v>
      </c>
      <c r="C75" s="3"/>
      <c r="D75" s="3"/>
      <c r="E75" s="3"/>
      <c r="F75" s="3">
        <v>4</v>
      </c>
      <c r="G75" s="3">
        <v>3</v>
      </c>
      <c r="H75" s="3"/>
      <c r="I75" s="3"/>
      <c r="J75" s="3">
        <v>7</v>
      </c>
      <c r="K75" s="3"/>
      <c r="L75" s="176">
        <f t="shared" si="7"/>
        <v>14</v>
      </c>
    </row>
    <row r="76" spans="1:13" ht="13.5" thickTop="1" x14ac:dyDescent="0.2">
      <c r="B76" s="58" t="s">
        <v>7</v>
      </c>
      <c r="C76" s="38">
        <f t="shared" ref="C76:L76" si="8">SUM(C49:C75)</f>
        <v>20</v>
      </c>
      <c r="D76" s="38">
        <f t="shared" si="8"/>
        <v>17</v>
      </c>
      <c r="E76" s="38">
        <f t="shared" si="8"/>
        <v>54</v>
      </c>
      <c r="F76" s="38">
        <f t="shared" si="8"/>
        <v>67</v>
      </c>
      <c r="G76" s="38">
        <f>SUM(G49:G75)</f>
        <v>45</v>
      </c>
      <c r="H76" s="38">
        <f t="shared" si="8"/>
        <v>8</v>
      </c>
      <c r="I76" s="38">
        <f t="shared" si="8"/>
        <v>6</v>
      </c>
      <c r="J76" s="38">
        <f t="shared" si="8"/>
        <v>160</v>
      </c>
      <c r="K76" s="38">
        <f t="shared" si="8"/>
        <v>23</v>
      </c>
      <c r="L76" s="38">
        <f t="shared" si="8"/>
        <v>400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46748</v>
      </c>
      <c r="C82" s="29">
        <f>78+42+23</f>
        <v>143</v>
      </c>
      <c r="D82" s="29">
        <v>1350</v>
      </c>
      <c r="E82" s="4">
        <f>4+43+14+8+24+30+67+30+1+78</f>
        <v>299</v>
      </c>
      <c r="F82" s="4">
        <v>429</v>
      </c>
      <c r="G82" s="29">
        <v>276</v>
      </c>
      <c r="H82" s="4">
        <f>20+175+2965</f>
        <v>3160</v>
      </c>
      <c r="I82" s="4">
        <v>9</v>
      </c>
      <c r="J82" s="29">
        <v>17</v>
      </c>
      <c r="K82" s="4">
        <v>125</v>
      </c>
      <c r="L82" s="29">
        <f>4388+177</f>
        <v>4565</v>
      </c>
      <c r="M82" s="36">
        <f>SUM(B82:L82)</f>
        <v>57121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215</v>
      </c>
      <c r="L84" s="29">
        <v>4388</v>
      </c>
    </row>
    <row r="85" spans="1:13" x14ac:dyDescent="0.2">
      <c r="A85" s="29"/>
      <c r="B85" s="29"/>
      <c r="C85" s="29"/>
      <c r="D85" s="29"/>
      <c r="E85" s="29"/>
      <c r="F85" s="29"/>
      <c r="G85" s="47"/>
      <c r="H85" s="29"/>
      <c r="J85" s="29"/>
      <c r="K85" s="29" t="s">
        <v>214</v>
      </c>
      <c r="L85" s="29"/>
      <c r="M85">
        <v>177</v>
      </c>
    </row>
    <row r="86" spans="1:13" x14ac:dyDescent="0.2">
      <c r="A86" s="137" t="s">
        <v>86</v>
      </c>
      <c r="B86" s="138"/>
      <c r="C86" s="64">
        <v>265</v>
      </c>
      <c r="F86" s="137" t="s">
        <v>48</v>
      </c>
      <c r="G86" s="138"/>
      <c r="H86" s="64">
        <v>43</v>
      </c>
      <c r="J86" s="137" t="s">
        <v>73</v>
      </c>
      <c r="K86" s="142"/>
      <c r="L86" s="142"/>
      <c r="M86" s="34">
        <v>32</v>
      </c>
    </row>
    <row r="87" spans="1:13" x14ac:dyDescent="0.2">
      <c r="A87" s="153" t="s">
        <v>81</v>
      </c>
      <c r="B87" s="150"/>
      <c r="C87" s="42">
        <v>481</v>
      </c>
      <c r="F87" s="140" t="s">
        <v>49</v>
      </c>
      <c r="G87" s="141"/>
      <c r="H87" s="65">
        <v>41</v>
      </c>
      <c r="J87" s="140" t="s">
        <v>74</v>
      </c>
      <c r="K87" s="152"/>
      <c r="L87" s="152"/>
      <c r="M87" s="39">
        <v>0</v>
      </c>
    </row>
    <row r="88" spans="1:13" x14ac:dyDescent="0.2">
      <c r="A88" s="140" t="s">
        <v>87</v>
      </c>
      <c r="B88" s="152"/>
      <c r="C88" s="39">
        <v>42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f>12+1</f>
        <v>13</v>
      </c>
      <c r="D91" s="6"/>
      <c r="E91" s="31" t="s">
        <v>9</v>
      </c>
      <c r="F91" s="29"/>
      <c r="G91" s="36">
        <f>462+119</f>
        <v>581</v>
      </c>
      <c r="I91" s="35" t="s">
        <v>127</v>
      </c>
      <c r="J91" s="29"/>
      <c r="K91" s="29"/>
      <c r="L91" s="36">
        <v>747</v>
      </c>
      <c r="M91" s="6"/>
    </row>
    <row r="92" spans="1:13" x14ac:dyDescent="0.2">
      <c r="A92" s="35" t="s">
        <v>28</v>
      </c>
      <c r="B92" s="29"/>
      <c r="C92" s="36">
        <v>0</v>
      </c>
      <c r="D92" s="6"/>
      <c r="E92" s="31" t="s">
        <v>10</v>
      </c>
      <c r="F92" s="29"/>
      <c r="G92" s="36">
        <f>99+45</f>
        <v>144</v>
      </c>
      <c r="I92" s="35" t="s">
        <v>128</v>
      </c>
      <c r="J92" s="29"/>
      <c r="K92" s="29"/>
      <c r="L92" s="36">
        <v>151</v>
      </c>
      <c r="M92" s="6"/>
    </row>
    <row r="93" spans="1:13" x14ac:dyDescent="0.2">
      <c r="A93" s="35" t="s">
        <v>118</v>
      </c>
      <c r="B93" s="29"/>
      <c r="C93" s="36">
        <f>59+11</f>
        <v>70</v>
      </c>
      <c r="D93" s="6"/>
      <c r="E93" s="31" t="s">
        <v>11</v>
      </c>
      <c r="F93" s="29"/>
      <c r="G93" s="36">
        <f>17+8</f>
        <v>25</v>
      </c>
      <c r="I93" s="35" t="s">
        <v>45</v>
      </c>
      <c r="J93" s="29"/>
      <c r="K93" s="29"/>
      <c r="L93" s="36">
        <v>41</v>
      </c>
      <c r="M93" s="6"/>
    </row>
    <row r="94" spans="1:13" x14ac:dyDescent="0.2">
      <c r="A94" s="35" t="s">
        <v>119</v>
      </c>
      <c r="B94" s="47"/>
      <c r="C94" s="36">
        <f>617+37+6</f>
        <v>660</v>
      </c>
      <c r="D94" s="6"/>
      <c r="E94" s="31" t="s">
        <v>37</v>
      </c>
      <c r="F94" s="29"/>
      <c r="G94" s="36">
        <f>392+19</f>
        <v>411</v>
      </c>
      <c r="I94" s="35" t="s">
        <v>46</v>
      </c>
      <c r="J94" s="29"/>
      <c r="K94" s="29"/>
      <c r="L94" s="36">
        <v>20</v>
      </c>
      <c r="M94" s="6"/>
    </row>
    <row r="95" spans="1:13" x14ac:dyDescent="0.2">
      <c r="A95" s="35" t="s">
        <v>101</v>
      </c>
      <c r="B95" s="47"/>
      <c r="C95" s="36">
        <f>45+2+5+2</f>
        <v>54</v>
      </c>
      <c r="D95" s="6"/>
      <c r="E95" s="41" t="s">
        <v>38</v>
      </c>
      <c r="F95" s="38"/>
      <c r="G95" s="39">
        <v>0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f>7+6</f>
        <v>13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f>105+4+2</f>
        <v>111</v>
      </c>
    </row>
    <row r="98" spans="1:13" x14ac:dyDescent="0.2">
      <c r="A98" s="35" t="s">
        <v>120</v>
      </c>
      <c r="B98" s="29"/>
      <c r="C98" s="36">
        <f>9</f>
        <v>9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72</v>
      </c>
    </row>
    <row r="100" spans="1:13" x14ac:dyDescent="0.2">
      <c r="A100" s="89" t="s">
        <v>122</v>
      </c>
      <c r="B100" s="47"/>
      <c r="C100" s="36">
        <v>0</v>
      </c>
      <c r="E100" s="35" t="s">
        <v>32</v>
      </c>
      <c r="F100" s="47"/>
      <c r="G100" s="47"/>
      <c r="H100" s="42">
        <v>72</v>
      </c>
    </row>
    <row r="101" spans="1:13" x14ac:dyDescent="0.2">
      <c r="A101" s="89" t="s">
        <v>18</v>
      </c>
      <c r="B101" s="29"/>
      <c r="C101" s="51">
        <v>11</v>
      </c>
      <c r="E101" s="37" t="s">
        <v>47</v>
      </c>
      <c r="F101" s="55"/>
      <c r="G101" s="38"/>
      <c r="H101" s="39">
        <v>0</v>
      </c>
      <c r="I101" s="2"/>
      <c r="J101" s="1"/>
    </row>
    <row r="102" spans="1:13" x14ac:dyDescent="0.2">
      <c r="A102" s="91" t="s">
        <v>20</v>
      </c>
      <c r="B102" s="38"/>
      <c r="C102" s="39">
        <f>477+133+111</f>
        <v>721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137" t="s">
        <v>391</v>
      </c>
      <c r="J103" s="138"/>
      <c r="K103" s="59" t="s">
        <v>96</v>
      </c>
      <c r="L103" s="59" t="s">
        <v>425</v>
      </c>
      <c r="M103" s="34"/>
    </row>
    <row r="104" spans="1:13" x14ac:dyDescent="0.2">
      <c r="A104" s="79"/>
      <c r="B104" s="29"/>
      <c r="C104" s="29"/>
      <c r="I104" s="37" t="s">
        <v>390</v>
      </c>
      <c r="J104" s="57" t="s">
        <v>392</v>
      </c>
      <c r="K104" s="38">
        <v>22</v>
      </c>
      <c r="L104" s="38">
        <v>36</v>
      </c>
      <c r="M104" s="84"/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3875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0</v>
      </c>
      <c r="E108" s="111">
        <v>415</v>
      </c>
      <c r="F108" s="31"/>
      <c r="H108" s="1"/>
      <c r="I108" s="60" t="s">
        <v>133</v>
      </c>
      <c r="J108" s="50"/>
      <c r="L108">
        <v>2326</v>
      </c>
      <c r="M108" s="36"/>
    </row>
    <row r="109" spans="1:13" x14ac:dyDescent="0.2">
      <c r="A109" s="1"/>
      <c r="B109" s="228" t="s">
        <v>97</v>
      </c>
      <c r="C109" s="229"/>
      <c r="D109" s="15">
        <v>1493</v>
      </c>
      <c r="E109" s="157"/>
      <c r="F109" s="31"/>
      <c r="I109" s="60" t="s">
        <v>212</v>
      </c>
      <c r="K109" s="29"/>
      <c r="L109" s="29">
        <v>2082</v>
      </c>
      <c r="M109" s="36"/>
    </row>
    <row r="110" spans="1:13" x14ac:dyDescent="0.2">
      <c r="B110" s="194" t="s">
        <v>348</v>
      </c>
      <c r="C110" s="15"/>
      <c r="D110" s="15">
        <v>503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253</v>
      </c>
      <c r="E111" s="112"/>
      <c r="F111" s="160"/>
      <c r="I111" s="60" t="s">
        <v>145</v>
      </c>
      <c r="J111" s="50"/>
      <c r="K111" s="50"/>
      <c r="L111" s="47">
        <v>195</v>
      </c>
      <c r="M111" s="63"/>
    </row>
    <row r="112" spans="1:13" x14ac:dyDescent="0.2">
      <c r="A112" s="1"/>
      <c r="B112" s="232" t="s">
        <v>244</v>
      </c>
      <c r="C112" s="233"/>
      <c r="D112" s="15"/>
      <c r="E112" s="112">
        <v>36</v>
      </c>
      <c r="F112" s="160" t="s">
        <v>245</v>
      </c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430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446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278</v>
      </c>
      <c r="E115" s="115"/>
      <c r="F115" s="161"/>
      <c r="I115" s="87" t="s">
        <v>111</v>
      </c>
      <c r="J115" s="33"/>
      <c r="K115" s="88">
        <v>1192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484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>
        <v>486</v>
      </c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/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27</v>
      </c>
      <c r="E120" s="114">
        <v>102</v>
      </c>
      <c r="F120" s="163"/>
      <c r="I120" s="95" t="s">
        <v>22</v>
      </c>
      <c r="J120" s="86"/>
      <c r="K120" s="29">
        <v>0</v>
      </c>
      <c r="L120" s="29">
        <v>0</v>
      </c>
      <c r="M120" s="94">
        <f>SUM(K120:L120)</f>
        <v>0</v>
      </c>
    </row>
    <row r="121" spans="1:13" x14ac:dyDescent="0.2">
      <c r="B121" s="100" t="s">
        <v>144</v>
      </c>
      <c r="D121" s="13">
        <v>21</v>
      </c>
      <c r="E121" s="111"/>
      <c r="F121" s="31"/>
      <c r="I121" s="171" t="s">
        <v>169</v>
      </c>
      <c r="J121" s="86"/>
      <c r="K121" s="29">
        <v>0</v>
      </c>
      <c r="L121" s="29">
        <v>0</v>
      </c>
      <c r="M121" s="94">
        <f>SUM(K121:L121)</f>
        <v>0</v>
      </c>
    </row>
    <row r="122" spans="1:13" x14ac:dyDescent="0.2">
      <c r="A122" s="1"/>
      <c r="B122" s="32" t="s">
        <v>159</v>
      </c>
      <c r="C122" s="13"/>
      <c r="D122" s="13">
        <v>4534</v>
      </c>
      <c r="E122" s="115"/>
      <c r="F122" s="162"/>
      <c r="I122" s="171" t="s">
        <v>170</v>
      </c>
      <c r="J122" s="86"/>
      <c r="K122" s="29">
        <v>0</v>
      </c>
      <c r="L122" s="29">
        <v>0</v>
      </c>
      <c r="M122" s="94">
        <f>SUM(K122:L122)</f>
        <v>0</v>
      </c>
    </row>
    <row r="123" spans="1:13" x14ac:dyDescent="0.2">
      <c r="A123" s="1"/>
      <c r="B123" s="101" t="s">
        <v>135</v>
      </c>
      <c r="C123" s="13"/>
      <c r="D123" s="13">
        <v>434</v>
      </c>
      <c r="E123" s="158"/>
      <c r="F123" s="162"/>
      <c r="I123" s="172" t="s">
        <v>23</v>
      </c>
      <c r="J123" s="173"/>
      <c r="K123" s="93">
        <v>18</v>
      </c>
      <c r="L123" s="93">
        <v>2</v>
      </c>
      <c r="M123" s="174">
        <f>SUM(K123:L123)</f>
        <v>20</v>
      </c>
    </row>
    <row r="124" spans="1:13" x14ac:dyDescent="0.2">
      <c r="A124" s="1"/>
      <c r="B124" s="101" t="s">
        <v>141</v>
      </c>
      <c r="C124" s="13"/>
      <c r="D124" s="13">
        <v>102</v>
      </c>
      <c r="E124" s="158"/>
      <c r="F124" s="162"/>
      <c r="I124" s="171" t="s">
        <v>146</v>
      </c>
      <c r="J124" s="86"/>
      <c r="K124" s="4">
        <v>1</v>
      </c>
      <c r="L124" s="170" t="s">
        <v>394</v>
      </c>
      <c r="M124" s="94">
        <f>SUM(K124:L124)</f>
        <v>1</v>
      </c>
    </row>
    <row r="125" spans="1:13" x14ac:dyDescent="0.2">
      <c r="A125" s="1"/>
      <c r="B125" s="101" t="s">
        <v>126</v>
      </c>
      <c r="C125" s="13"/>
      <c r="D125" s="13">
        <v>136</v>
      </c>
      <c r="E125" s="158"/>
      <c r="F125" s="162"/>
      <c r="I125" s="96" t="s">
        <v>274</v>
      </c>
      <c r="J125" s="83"/>
      <c r="K125" s="52"/>
      <c r="L125" s="210"/>
      <c r="M125" s="80"/>
    </row>
    <row r="126" spans="1:13" x14ac:dyDescent="0.2">
      <c r="B126" s="111" t="s">
        <v>350</v>
      </c>
      <c r="C126" s="122"/>
      <c r="D126" s="183">
        <v>45</v>
      </c>
      <c r="E126" s="158"/>
      <c r="F126" s="162" t="s">
        <v>351</v>
      </c>
      <c r="I126" s="4"/>
      <c r="J126" s="4"/>
      <c r="K126" s="4"/>
      <c r="L126" s="170"/>
      <c r="M126" s="4"/>
    </row>
    <row r="127" spans="1:13" x14ac:dyDescent="0.2">
      <c r="C127" s="1" t="s">
        <v>7</v>
      </c>
      <c r="D127">
        <f>SUM(D107:D126)</f>
        <v>13063</v>
      </c>
      <c r="E127">
        <f>SUM(E107:E126)</f>
        <v>553</v>
      </c>
      <c r="I127" s="132" t="s">
        <v>106</v>
      </c>
      <c r="J127" s="139"/>
      <c r="K127" s="105">
        <v>2</v>
      </c>
      <c r="L127" s="211"/>
      <c r="M127" s="86"/>
    </row>
    <row r="128" spans="1:13" x14ac:dyDescent="0.2">
      <c r="C128" s="1"/>
      <c r="I128" s="132" t="s">
        <v>136</v>
      </c>
      <c r="J128" s="139"/>
      <c r="K128" s="105">
        <v>4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f>107+23</f>
        <v>130</v>
      </c>
      <c r="D134" s="29">
        <f>35+6</f>
        <v>41</v>
      </c>
      <c r="E134" s="29">
        <f>609+148</f>
        <v>757</v>
      </c>
      <c r="F134" s="4">
        <f>397+100</f>
        <v>497</v>
      </c>
      <c r="G134" s="4">
        <f>190+25</f>
        <v>215</v>
      </c>
      <c r="H134" s="4">
        <v>0</v>
      </c>
      <c r="I134" s="4">
        <f>14+53</f>
        <v>67</v>
      </c>
      <c r="J134" s="4">
        <f>42+207</f>
        <v>249</v>
      </c>
      <c r="K134" s="4">
        <f>315+64</f>
        <v>379</v>
      </c>
      <c r="L134" s="51">
        <f>SUM(C134:K134)</f>
        <v>2335</v>
      </c>
    </row>
    <row r="135" spans="1:13" x14ac:dyDescent="0.2">
      <c r="A135" s="31"/>
      <c r="B135" s="50" t="s">
        <v>9</v>
      </c>
      <c r="C135" s="169" t="s">
        <v>394</v>
      </c>
      <c r="D135" s="169" t="s">
        <v>394</v>
      </c>
      <c r="E135" s="169" t="s">
        <v>394</v>
      </c>
      <c r="F135" s="170">
        <f>128+26</f>
        <v>154</v>
      </c>
      <c r="G135" s="170" t="s">
        <v>394</v>
      </c>
      <c r="H135" s="170" t="s">
        <v>394</v>
      </c>
      <c r="I135" s="170" t="s">
        <v>394</v>
      </c>
      <c r="J135" s="170">
        <f>38+215</f>
        <v>253</v>
      </c>
      <c r="K135" s="170" t="s">
        <v>394</v>
      </c>
      <c r="L135" s="51">
        <f>SUM(C135:K135)</f>
        <v>407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0</v>
      </c>
      <c r="E136" s="155">
        <v>0</v>
      </c>
      <c r="F136" s="155">
        <f>4</f>
        <v>4</v>
      </c>
      <c r="G136" s="155">
        <v>0</v>
      </c>
      <c r="H136" s="155">
        <v>0</v>
      </c>
      <c r="I136" s="168" t="s">
        <v>394</v>
      </c>
      <c r="J136" s="155">
        <v>7</v>
      </c>
      <c r="K136" s="155">
        <v>0</v>
      </c>
      <c r="L136" s="131">
        <f>SUM(C136:K136)</f>
        <v>11</v>
      </c>
    </row>
    <row r="137" spans="1:13" ht="13.5" thickTop="1" x14ac:dyDescent="0.2">
      <c r="A137" s="31"/>
      <c r="B137" s="50" t="s">
        <v>14</v>
      </c>
      <c r="C137" s="29">
        <f>SUM(C134:C136)</f>
        <v>130</v>
      </c>
      <c r="D137" s="29">
        <f>SUM(D134:D136)</f>
        <v>41</v>
      </c>
      <c r="E137" s="29">
        <f t="shared" ref="E137:L137" si="9">SUM(E134:E136)</f>
        <v>757</v>
      </c>
      <c r="F137" s="29">
        <f t="shared" si="9"/>
        <v>655</v>
      </c>
      <c r="G137" s="29">
        <f t="shared" si="9"/>
        <v>215</v>
      </c>
      <c r="H137" s="29">
        <f t="shared" si="9"/>
        <v>0</v>
      </c>
      <c r="I137" s="29">
        <f t="shared" si="9"/>
        <v>67</v>
      </c>
      <c r="J137" s="29">
        <f t="shared" si="9"/>
        <v>509</v>
      </c>
      <c r="K137" s="29">
        <f t="shared" si="9"/>
        <v>379</v>
      </c>
      <c r="L137" s="42">
        <f t="shared" si="9"/>
        <v>2753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125" t="s">
        <v>421</v>
      </c>
      <c r="B143" s="28"/>
      <c r="C143" s="28"/>
      <c r="D143" s="20"/>
      <c r="E143" s="20"/>
      <c r="F143" s="21"/>
      <c r="G143" s="28"/>
      <c r="H143" s="22"/>
      <c r="I143" s="22"/>
      <c r="J143" s="22"/>
      <c r="K143" s="20"/>
      <c r="L143" s="20"/>
      <c r="M143" s="23"/>
    </row>
    <row r="144" spans="1:13" ht="18" x14ac:dyDescent="0.25">
      <c r="A144" s="125" t="s">
        <v>405</v>
      </c>
      <c r="B144" s="20"/>
      <c r="C144" s="20"/>
      <c r="D144" s="20"/>
      <c r="E144" s="20"/>
      <c r="F144" s="21"/>
      <c r="G144" s="127"/>
      <c r="H144" s="22"/>
      <c r="I144" s="68"/>
      <c r="J144" s="69"/>
      <c r="K144" s="70"/>
      <c r="L144" s="70"/>
      <c r="M144" s="103"/>
    </row>
    <row r="145" spans="1:13" ht="18" x14ac:dyDescent="0.25">
      <c r="A145" s="125" t="s">
        <v>407</v>
      </c>
      <c r="B145" s="20"/>
      <c r="C145" s="20"/>
      <c r="D145" s="20"/>
      <c r="E145" s="20"/>
      <c r="F145" s="68"/>
      <c r="G145" s="69"/>
      <c r="H145" s="68"/>
      <c r="I145" s="68"/>
      <c r="J145" s="68"/>
      <c r="K145" s="71"/>
      <c r="L145" s="71"/>
      <c r="M145" s="72"/>
    </row>
    <row r="146" spans="1:13" x14ac:dyDescent="0.2">
      <c r="A146" s="125" t="s">
        <v>408</v>
      </c>
      <c r="B146" s="20"/>
      <c r="C146" s="20"/>
      <c r="D146" s="20"/>
      <c r="E146" s="20"/>
      <c r="F146" s="21"/>
      <c r="G146" s="28" t="s">
        <v>155</v>
      </c>
      <c r="H146" s="68"/>
      <c r="I146" s="68"/>
      <c r="J146" s="68"/>
      <c r="K146" s="71"/>
      <c r="L146" s="71"/>
      <c r="M146" s="72"/>
    </row>
    <row r="147" spans="1:13" x14ac:dyDescent="0.2">
      <c r="A147" s="31"/>
      <c r="B147" s="29"/>
      <c r="C147" s="29"/>
      <c r="D147" s="29"/>
      <c r="E147" s="29"/>
      <c r="F147" s="29"/>
      <c r="G147" s="127" t="s">
        <v>403</v>
      </c>
      <c r="H147" s="29"/>
      <c r="I147" s="29"/>
      <c r="J147" s="29"/>
      <c r="K147" s="29"/>
      <c r="L147" s="29"/>
      <c r="M147" s="36"/>
    </row>
    <row r="148" spans="1:13" ht="18" x14ac:dyDescent="0.25">
      <c r="A148" s="27" t="s">
        <v>154</v>
      </c>
      <c r="B148" s="74"/>
      <c r="C148" s="20"/>
      <c r="D148" s="20"/>
      <c r="E148" s="20"/>
      <c r="F148" s="68"/>
      <c r="G148" s="205" t="s">
        <v>418</v>
      </c>
      <c r="H148" s="68"/>
      <c r="I148" s="22"/>
      <c r="J148" s="45"/>
      <c r="K148" s="20"/>
      <c r="L148" s="20"/>
      <c r="M148" s="23"/>
    </row>
    <row r="149" spans="1:13" ht="18" x14ac:dyDescent="0.25">
      <c r="A149" s="125" t="s">
        <v>412</v>
      </c>
      <c r="B149" s="20"/>
      <c r="C149" s="20"/>
      <c r="D149" s="20"/>
      <c r="E149" s="20"/>
      <c r="F149" s="68"/>
      <c r="G149" s="209" t="s">
        <v>420</v>
      </c>
      <c r="H149" s="22"/>
      <c r="I149" s="68"/>
      <c r="J149" s="68"/>
      <c r="K149" s="20"/>
      <c r="L149" s="20"/>
      <c r="M149" s="23"/>
    </row>
    <row r="150" spans="1:13" ht="18" x14ac:dyDescent="0.25">
      <c r="A150" s="126" t="s">
        <v>411</v>
      </c>
      <c r="B150" s="74"/>
      <c r="C150" s="20"/>
      <c r="D150" s="20"/>
      <c r="E150" s="20"/>
      <c r="F150" s="20"/>
      <c r="H150" s="22"/>
      <c r="I150" s="22"/>
      <c r="J150" s="22"/>
      <c r="K150" s="22"/>
      <c r="L150" s="20"/>
      <c r="M150" s="23"/>
    </row>
    <row r="151" spans="1:13" x14ac:dyDescent="0.2">
      <c r="A151" s="125" t="s">
        <v>402</v>
      </c>
      <c r="B151" s="28"/>
      <c r="C151" s="28"/>
      <c r="D151" s="20"/>
      <c r="E151" s="28"/>
      <c r="F151" s="77"/>
      <c r="G151" s="28" t="s">
        <v>101</v>
      </c>
      <c r="H151" s="29"/>
      <c r="I151" s="68"/>
      <c r="J151" s="68"/>
      <c r="K151" s="20"/>
      <c r="L151" s="20"/>
      <c r="M151" s="23"/>
    </row>
    <row r="152" spans="1:13" x14ac:dyDescent="0.2">
      <c r="A152" s="125" t="s">
        <v>410</v>
      </c>
      <c r="B152" s="20"/>
      <c r="C152" s="20"/>
      <c r="D152" s="20"/>
      <c r="E152" s="20"/>
      <c r="F152" s="77"/>
      <c r="G152" s="127" t="s">
        <v>409</v>
      </c>
      <c r="H152" s="29"/>
      <c r="I152" s="68"/>
      <c r="J152" s="68"/>
      <c r="K152" s="20"/>
      <c r="L152" s="20"/>
      <c r="M152" s="23"/>
    </row>
    <row r="153" spans="1:13" x14ac:dyDescent="0.2">
      <c r="A153" s="126" t="s">
        <v>423</v>
      </c>
      <c r="B153" s="20"/>
      <c r="C153" s="20"/>
      <c r="D153" s="20"/>
      <c r="E153" s="20"/>
      <c r="F153" s="77"/>
      <c r="K153" s="20"/>
      <c r="L153" s="20"/>
      <c r="M153" s="23"/>
    </row>
    <row r="154" spans="1:13" ht="18" x14ac:dyDescent="0.25">
      <c r="A154" s="46"/>
      <c r="B154" s="29"/>
      <c r="C154" s="29"/>
      <c r="D154" s="29"/>
      <c r="E154" s="29"/>
      <c r="F154" s="21"/>
      <c r="G154" s="109" t="s">
        <v>156</v>
      </c>
      <c r="H154" s="29"/>
      <c r="I154" s="22"/>
      <c r="J154" s="22"/>
      <c r="K154" s="20"/>
      <c r="L154" s="20"/>
      <c r="M154" s="23"/>
    </row>
    <row r="155" spans="1:13" x14ac:dyDescent="0.2">
      <c r="A155" s="31"/>
      <c r="B155" s="20"/>
      <c r="C155" s="20"/>
      <c r="D155" s="20"/>
      <c r="E155" s="20"/>
      <c r="F155" s="21"/>
      <c r="G155" s="127" t="s">
        <v>406</v>
      </c>
      <c r="H155" s="29"/>
      <c r="I155" s="68"/>
      <c r="J155" s="68"/>
      <c r="K155" s="71"/>
      <c r="L155" s="71"/>
      <c r="M155" s="72"/>
    </row>
    <row r="156" spans="1:13" x14ac:dyDescent="0.2">
      <c r="A156" s="27" t="s">
        <v>157</v>
      </c>
      <c r="B156" s="20"/>
      <c r="C156" s="20"/>
      <c r="D156" s="20"/>
      <c r="E156" s="20"/>
      <c r="F156" s="21"/>
      <c r="G156" s="127"/>
      <c r="H156" s="29"/>
      <c r="I156" s="68"/>
      <c r="J156" s="68"/>
      <c r="K156" s="71"/>
      <c r="L156" s="71"/>
      <c r="M156" s="72"/>
    </row>
    <row r="157" spans="1:13" x14ac:dyDescent="0.2">
      <c r="A157" s="125" t="s">
        <v>404</v>
      </c>
      <c r="B157" s="20"/>
      <c r="C157" s="20"/>
      <c r="D157" s="29"/>
      <c r="E157" s="29"/>
      <c r="F157" s="29"/>
      <c r="G157" s="178"/>
      <c r="H157" s="29"/>
      <c r="I157" s="29"/>
      <c r="J157" s="29"/>
      <c r="K157" s="29"/>
      <c r="L157" s="29"/>
      <c r="M157" s="36"/>
    </row>
    <row r="158" spans="1:13" x14ac:dyDescent="0.2">
      <c r="A158" s="126" t="s">
        <v>413</v>
      </c>
      <c r="B158" s="20"/>
      <c r="C158" s="20"/>
      <c r="D158" s="20"/>
      <c r="E158" s="20"/>
      <c r="F158" s="21"/>
      <c r="G158" s="178"/>
      <c r="H158" s="29"/>
      <c r="I158" s="29"/>
      <c r="J158" s="29"/>
      <c r="K158" s="71"/>
      <c r="L158" s="71"/>
      <c r="M158" s="72"/>
    </row>
    <row r="159" spans="1:13" x14ac:dyDescent="0.2">
      <c r="A159" s="126" t="s">
        <v>414</v>
      </c>
      <c r="B159" s="20"/>
      <c r="C159" s="20"/>
      <c r="D159" s="20"/>
      <c r="E159" s="20"/>
      <c r="F159" s="21"/>
      <c r="G159" s="178"/>
      <c r="H159" s="29"/>
      <c r="I159" s="29"/>
      <c r="J159" s="29"/>
      <c r="K159" s="71"/>
      <c r="L159" s="71"/>
      <c r="M159" s="72"/>
    </row>
    <row r="160" spans="1:13" x14ac:dyDescent="0.2">
      <c r="A160" s="125" t="s">
        <v>415</v>
      </c>
      <c r="B160" s="28"/>
      <c r="C160" s="28"/>
      <c r="D160" s="20"/>
      <c r="E160" s="20"/>
      <c r="F160" s="21"/>
      <c r="G160" s="178"/>
      <c r="H160" s="29"/>
      <c r="I160" s="68"/>
      <c r="J160" s="68"/>
      <c r="K160" s="71"/>
      <c r="L160" s="71"/>
      <c r="M160" s="72"/>
    </row>
    <row r="161" spans="1:13" x14ac:dyDescent="0.2">
      <c r="A161" s="125" t="s">
        <v>416</v>
      </c>
      <c r="B161" s="20"/>
      <c r="C161" s="20"/>
      <c r="D161" s="20"/>
      <c r="E161" s="74"/>
      <c r="F161" s="20"/>
      <c r="G161" s="178"/>
      <c r="H161" s="29"/>
      <c r="I161" s="20"/>
      <c r="J161" s="68"/>
      <c r="K161" s="29"/>
      <c r="L161" s="29"/>
      <c r="M161" s="36"/>
    </row>
    <row r="162" spans="1:13" ht="18" x14ac:dyDescent="0.25">
      <c r="A162" s="206" t="s">
        <v>417</v>
      </c>
      <c r="B162" s="20"/>
      <c r="C162" s="20"/>
      <c r="D162" s="20"/>
      <c r="E162" s="20"/>
      <c r="F162" s="21"/>
      <c r="G162" s="178"/>
      <c r="H162" s="29"/>
      <c r="I162" s="22"/>
      <c r="J162" s="22"/>
      <c r="K162" s="20"/>
      <c r="L162" s="20"/>
      <c r="M162" s="23"/>
    </row>
    <row r="163" spans="1:13" ht="18" x14ac:dyDescent="0.25">
      <c r="A163" s="206" t="s">
        <v>419</v>
      </c>
      <c r="B163" s="20"/>
      <c r="C163" s="20"/>
      <c r="D163" s="20"/>
      <c r="E163" s="74"/>
      <c r="F163" s="68"/>
      <c r="H163" s="69"/>
      <c r="I163" s="68"/>
      <c r="J163" s="69"/>
      <c r="K163" s="70"/>
      <c r="L163" s="70"/>
      <c r="M163" s="23"/>
    </row>
    <row r="164" spans="1:13" ht="18" x14ac:dyDescent="0.25">
      <c r="A164" s="212" t="s">
        <v>422</v>
      </c>
      <c r="B164" s="24"/>
      <c r="C164" s="24"/>
      <c r="D164" s="24"/>
      <c r="E164" s="102"/>
      <c r="F164" s="76"/>
      <c r="G164" s="108"/>
      <c r="H164" s="108"/>
      <c r="I164" s="76"/>
      <c r="J164" s="108"/>
      <c r="K164" s="75"/>
      <c r="L164" s="75"/>
      <c r="M164" s="99"/>
    </row>
    <row r="165" spans="1:13" x14ac:dyDescent="0.2"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0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19:C119"/>
    <mergeCell ref="B108:C108"/>
    <mergeCell ref="B109:C109"/>
    <mergeCell ref="B112:C112"/>
    <mergeCell ref="B116:C116"/>
    <mergeCell ref="B117:C117"/>
    <mergeCell ref="B118:C118"/>
  </mergeCells>
  <pageMargins left="0.5" right="0.5" top="0.5" bottom="0.5" header="0.3" footer="0.5"/>
  <pageSetup fitToHeight="0" orientation="landscape" r:id="rId1"/>
  <headerFooter>
    <oddHeader>&amp;C
&amp;RApril
 2017
 - Page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zoomScaleNormal="100" workbookViewId="0">
      <selection activeCell="D10" sqref="D10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>
        <v>42856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81</v>
      </c>
      <c r="D7" s="29">
        <v>12</v>
      </c>
      <c r="E7" s="29">
        <v>166</v>
      </c>
      <c r="F7" s="61">
        <v>578</v>
      </c>
      <c r="G7" s="61">
        <v>72</v>
      </c>
      <c r="H7" s="61">
        <v>0</v>
      </c>
      <c r="I7" s="61">
        <v>0</v>
      </c>
      <c r="J7" s="61">
        <v>402</v>
      </c>
      <c r="K7" s="61">
        <v>19</v>
      </c>
      <c r="L7" s="166"/>
      <c r="M7" s="51">
        <f>SUM(C7:L7)</f>
        <v>1330</v>
      </c>
    </row>
    <row r="8" spans="1:18" x14ac:dyDescent="0.2">
      <c r="A8" s="31"/>
      <c r="B8" s="47" t="s">
        <v>146</v>
      </c>
      <c r="C8" s="29">
        <v>14</v>
      </c>
      <c r="D8" s="29">
        <v>0</v>
      </c>
      <c r="E8" s="29">
        <v>22</v>
      </c>
      <c r="F8" s="61">
        <v>68</v>
      </c>
      <c r="G8" s="61">
        <v>1</v>
      </c>
      <c r="H8" s="61">
        <v>0</v>
      </c>
      <c r="I8" s="61">
        <v>0</v>
      </c>
      <c r="J8" s="61">
        <v>13</v>
      </c>
      <c r="K8" s="61">
        <v>0</v>
      </c>
      <c r="L8" s="167">
        <v>3</v>
      </c>
      <c r="M8" s="51">
        <f>SUM(C8:L8)</f>
        <v>121</v>
      </c>
    </row>
    <row r="9" spans="1:18" ht="13.5" thickBot="1" x14ac:dyDescent="0.25">
      <c r="A9" s="31"/>
      <c r="B9" s="47" t="s">
        <v>147</v>
      </c>
      <c r="C9" s="3">
        <v>0</v>
      </c>
      <c r="D9" s="3">
        <v>0</v>
      </c>
      <c r="E9" s="3">
        <v>3</v>
      </c>
      <c r="F9" s="3">
        <v>56</v>
      </c>
      <c r="G9" s="3">
        <v>25</v>
      </c>
      <c r="H9" s="3">
        <v>0</v>
      </c>
      <c r="I9" s="3">
        <v>0</v>
      </c>
      <c r="J9" s="3">
        <v>6</v>
      </c>
      <c r="K9" s="3">
        <v>4</v>
      </c>
      <c r="L9" s="168"/>
      <c r="M9" s="49">
        <f>SUM(C9:K9)</f>
        <v>94</v>
      </c>
    </row>
    <row r="10" spans="1:18" ht="13.5" thickTop="1" x14ac:dyDescent="0.2">
      <c r="A10" s="41"/>
      <c r="B10" s="55" t="s">
        <v>14</v>
      </c>
      <c r="C10" s="38">
        <f>SUM(C7:C9)</f>
        <v>95</v>
      </c>
      <c r="D10" s="38">
        <f>SUM(D7:D9)</f>
        <v>12</v>
      </c>
      <c r="E10" s="38">
        <f>SUM(E7:E9)</f>
        <v>191</v>
      </c>
      <c r="F10" s="38">
        <f>SUM(F7:F9)</f>
        <v>702</v>
      </c>
      <c r="G10" s="38">
        <f>SUM(G7:G9)</f>
        <v>98</v>
      </c>
      <c r="H10" s="38">
        <f t="shared" ref="H10:I10" si="0">SUM(H7,H9)</f>
        <v>0</v>
      </c>
      <c r="I10" s="38">
        <f t="shared" si="0"/>
        <v>0</v>
      </c>
      <c r="J10" s="38">
        <f>SUM(J7:J9)</f>
        <v>421</v>
      </c>
      <c r="K10" s="38">
        <f>SUM(K7:K9)</f>
        <v>23</v>
      </c>
      <c r="L10" s="38">
        <f>SUM(L7:L9)</f>
        <v>3</v>
      </c>
      <c r="M10" s="39">
        <f>SUM(M7:M9)</f>
        <v>1545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3283</v>
      </c>
      <c r="D12" s="123">
        <v>79</v>
      </c>
      <c r="E12" s="122">
        <v>14193</v>
      </c>
      <c r="F12" s="123">
        <v>11791</v>
      </c>
      <c r="G12" s="123">
        <v>9241</v>
      </c>
      <c r="H12" s="123">
        <v>102</v>
      </c>
      <c r="I12" s="123">
        <v>58</v>
      </c>
      <c r="J12" s="123">
        <v>11144</v>
      </c>
      <c r="K12" s="123">
        <v>1845</v>
      </c>
      <c r="L12" s="123"/>
      <c r="M12" s="124">
        <f>SUM(C12:K12)</f>
        <v>51736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85</v>
      </c>
      <c r="D19" s="29">
        <v>1</v>
      </c>
      <c r="E19" s="29">
        <v>123</v>
      </c>
      <c r="F19" s="4">
        <v>229</v>
      </c>
      <c r="G19" s="4">
        <v>84</v>
      </c>
      <c r="H19" s="4">
        <v>1</v>
      </c>
      <c r="I19" s="4">
        <v>5</v>
      </c>
      <c r="J19" s="4">
        <v>70</v>
      </c>
      <c r="K19" s="4">
        <v>45</v>
      </c>
      <c r="L19" s="36">
        <f>SUM(C19:K19)</f>
        <v>643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0</v>
      </c>
      <c r="D21" s="4">
        <v>1</v>
      </c>
      <c r="E21" s="4">
        <v>17</v>
      </c>
      <c r="F21" s="4">
        <v>17</v>
      </c>
      <c r="G21" s="4">
        <v>19</v>
      </c>
      <c r="H21" s="4">
        <v>1</v>
      </c>
      <c r="I21" s="4">
        <v>0</v>
      </c>
      <c r="J21" s="4">
        <v>29</v>
      </c>
      <c r="K21" s="4">
        <v>0</v>
      </c>
      <c r="L21" s="51">
        <f>SUM(C21:K21)</f>
        <v>84</v>
      </c>
    </row>
    <row r="22" spans="1:13" x14ac:dyDescent="0.2">
      <c r="A22" s="31"/>
      <c r="B22" s="29" t="s">
        <v>10</v>
      </c>
      <c r="C22" s="4">
        <v>6</v>
      </c>
      <c r="D22" s="4">
        <v>4</v>
      </c>
      <c r="E22" s="4">
        <v>15</v>
      </c>
      <c r="F22" s="4">
        <v>58</v>
      </c>
      <c r="G22" s="4">
        <v>19</v>
      </c>
      <c r="H22" s="4">
        <v>2</v>
      </c>
      <c r="I22" s="4">
        <v>5</v>
      </c>
      <c r="J22" s="4">
        <v>26</v>
      </c>
      <c r="K22" s="4">
        <v>5</v>
      </c>
      <c r="L22" s="51">
        <f>SUM(C22:K22)</f>
        <v>140</v>
      </c>
    </row>
    <row r="23" spans="1:13" ht="13.5" thickBot="1" x14ac:dyDescent="0.25">
      <c r="A23" s="31"/>
      <c r="B23" s="29" t="s">
        <v>9</v>
      </c>
      <c r="C23" s="3">
        <v>132</v>
      </c>
      <c r="D23" s="3">
        <v>93</v>
      </c>
      <c r="E23" s="3">
        <v>308</v>
      </c>
      <c r="F23" s="3">
        <v>329</v>
      </c>
      <c r="G23" s="3">
        <v>177</v>
      </c>
      <c r="H23" s="3">
        <v>12</v>
      </c>
      <c r="I23" s="3">
        <v>2</v>
      </c>
      <c r="J23" s="3">
        <v>601</v>
      </c>
      <c r="K23" s="3">
        <v>172</v>
      </c>
      <c r="L23" s="49">
        <f>SUM(C23:K23)</f>
        <v>1826</v>
      </c>
    </row>
    <row r="24" spans="1:13" ht="13.5" thickTop="1" x14ac:dyDescent="0.2">
      <c r="A24" s="31"/>
      <c r="B24" s="50" t="s">
        <v>14</v>
      </c>
      <c r="C24" s="29">
        <f>SUM(C19:C23)</f>
        <v>224</v>
      </c>
      <c r="D24" s="29">
        <f t="shared" ref="D24:L24" si="1">SUM(D19:D23)</f>
        <v>99</v>
      </c>
      <c r="E24" s="29">
        <f t="shared" si="1"/>
        <v>464</v>
      </c>
      <c r="F24" s="29">
        <f t="shared" si="1"/>
        <v>633</v>
      </c>
      <c r="G24" s="29">
        <f t="shared" si="1"/>
        <v>300</v>
      </c>
      <c r="H24" s="29">
        <f t="shared" si="1"/>
        <v>16</v>
      </c>
      <c r="I24" s="29">
        <f>SUM(I19:I23)</f>
        <v>12</v>
      </c>
      <c r="J24" s="29">
        <f t="shared" si="1"/>
        <v>726</v>
      </c>
      <c r="K24" s="29">
        <f t="shared" si="1"/>
        <v>227</v>
      </c>
      <c r="L24" s="36">
        <f t="shared" si="1"/>
        <v>2701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424</v>
      </c>
      <c r="M26" s="156" t="s">
        <v>14</v>
      </c>
    </row>
    <row r="27" spans="1:13" x14ac:dyDescent="0.2">
      <c r="A27" s="132" t="s">
        <v>34</v>
      </c>
      <c r="B27" s="139"/>
      <c r="C27" s="73">
        <v>53.99</v>
      </c>
      <c r="D27" s="73">
        <v>5</v>
      </c>
      <c r="E27" s="73">
        <v>87.48</v>
      </c>
      <c r="F27" s="73">
        <v>54.75</v>
      </c>
      <c r="G27" s="73">
        <v>3.5</v>
      </c>
      <c r="H27" s="73">
        <v>0</v>
      </c>
      <c r="I27" s="73">
        <v>0</v>
      </c>
      <c r="J27" s="73">
        <v>34.49</v>
      </c>
      <c r="K27" s="73">
        <v>49.2</v>
      </c>
      <c r="L27" s="73">
        <v>40</v>
      </c>
      <c r="M27" s="118">
        <f>SUM(C27:L27)</f>
        <v>328.41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76</v>
      </c>
      <c r="D31" s="29">
        <v>8</v>
      </c>
      <c r="E31" s="29">
        <v>53</v>
      </c>
      <c r="F31" s="4">
        <v>256</v>
      </c>
      <c r="G31" s="4">
        <v>186</v>
      </c>
      <c r="H31" s="4">
        <v>257</v>
      </c>
      <c r="I31" s="4">
        <v>4</v>
      </c>
      <c r="J31" s="4">
        <v>140</v>
      </c>
      <c r="K31" s="4">
        <v>27</v>
      </c>
      <c r="L31" s="51">
        <f t="shared" ref="L31:L36" si="2">SUM(C31:K31)</f>
        <v>1007</v>
      </c>
    </row>
    <row r="32" spans="1:13" x14ac:dyDescent="0.2">
      <c r="B32" s="60" t="s">
        <v>18</v>
      </c>
      <c r="C32" s="29">
        <v>10</v>
      </c>
      <c r="D32" s="29">
        <v>2</v>
      </c>
      <c r="E32" s="29">
        <v>36</v>
      </c>
      <c r="F32" s="4">
        <v>37</v>
      </c>
      <c r="G32" s="4">
        <v>26</v>
      </c>
      <c r="H32" s="4">
        <v>23</v>
      </c>
      <c r="I32" s="4">
        <v>4</v>
      </c>
      <c r="J32" s="4">
        <v>19</v>
      </c>
      <c r="K32" s="4">
        <v>0</v>
      </c>
      <c r="L32" s="51">
        <f t="shared" si="2"/>
        <v>157</v>
      </c>
    </row>
    <row r="33" spans="1:12" x14ac:dyDescent="0.2">
      <c r="B33" s="60" t="s">
        <v>20</v>
      </c>
      <c r="C33" s="29">
        <v>189</v>
      </c>
      <c r="D33" s="29">
        <v>62</v>
      </c>
      <c r="E33" s="29">
        <v>494</v>
      </c>
      <c r="F33" s="29">
        <v>330</v>
      </c>
      <c r="G33" s="4">
        <v>293</v>
      </c>
      <c r="H33" s="4">
        <v>25</v>
      </c>
      <c r="I33" s="4">
        <v>33</v>
      </c>
      <c r="J33" s="4">
        <v>309</v>
      </c>
      <c r="K33" s="4">
        <v>99</v>
      </c>
      <c r="L33" s="51">
        <f t="shared" si="2"/>
        <v>1834</v>
      </c>
    </row>
    <row r="34" spans="1:12" x14ac:dyDescent="0.2">
      <c r="B34" s="60" t="s">
        <v>108</v>
      </c>
      <c r="C34" s="4">
        <f>29+83</f>
        <v>112</v>
      </c>
      <c r="D34" s="4">
        <f>13+41</f>
        <v>54</v>
      </c>
      <c r="E34" s="4">
        <f>15+47</f>
        <v>62</v>
      </c>
      <c r="F34" s="4">
        <f>29+52</f>
        <v>81</v>
      </c>
      <c r="G34" s="4">
        <f>25+80</f>
        <v>105</v>
      </c>
      <c r="H34" s="4">
        <f>6</f>
        <v>6</v>
      </c>
      <c r="I34" s="4">
        <f>12+14</f>
        <v>26</v>
      </c>
      <c r="J34">
        <f>17+138</f>
        <v>155</v>
      </c>
      <c r="K34" s="4">
        <f>8+48</f>
        <v>56</v>
      </c>
      <c r="L34" s="51">
        <f t="shared" si="2"/>
        <v>657</v>
      </c>
    </row>
    <row r="35" spans="1:12" ht="13.5" thickBot="1" x14ac:dyDescent="0.25">
      <c r="B35" s="119" t="s">
        <v>19</v>
      </c>
      <c r="C35" s="3">
        <f>C76</f>
        <v>25</v>
      </c>
      <c r="D35" s="3">
        <f t="shared" ref="D35:K35" si="3">D76</f>
        <v>36</v>
      </c>
      <c r="E35" s="3">
        <f t="shared" si="3"/>
        <v>102</v>
      </c>
      <c r="F35" s="3">
        <f t="shared" si="3"/>
        <v>140</v>
      </c>
      <c r="G35" s="3">
        <f t="shared" si="3"/>
        <v>101</v>
      </c>
      <c r="H35" s="3">
        <f t="shared" si="3"/>
        <v>39</v>
      </c>
      <c r="I35" s="3">
        <f t="shared" si="3"/>
        <v>8</v>
      </c>
      <c r="J35" s="3">
        <f t="shared" si="3"/>
        <v>230</v>
      </c>
      <c r="K35" s="3">
        <f t="shared" si="3"/>
        <v>41</v>
      </c>
      <c r="L35" s="117">
        <f t="shared" si="2"/>
        <v>722</v>
      </c>
    </row>
    <row r="36" spans="1:12" ht="13.5" thickTop="1" x14ac:dyDescent="0.2">
      <c r="B36" s="58" t="s">
        <v>14</v>
      </c>
      <c r="C36" s="38">
        <f t="shared" ref="C36:K36" si="4">SUM(C31:C35)</f>
        <v>412</v>
      </c>
      <c r="D36" s="38">
        <f t="shared" si="4"/>
        <v>162</v>
      </c>
      <c r="E36" s="38">
        <f t="shared" si="4"/>
        <v>747</v>
      </c>
      <c r="F36" s="38">
        <f t="shared" si="4"/>
        <v>844</v>
      </c>
      <c r="G36" s="38">
        <f>SUM(G31:G35)</f>
        <v>711</v>
      </c>
      <c r="H36" s="38">
        <f t="shared" si="4"/>
        <v>350</v>
      </c>
      <c r="I36" s="38">
        <f t="shared" si="4"/>
        <v>75</v>
      </c>
      <c r="J36" s="38">
        <f t="shared" si="4"/>
        <v>853</v>
      </c>
      <c r="K36" s="38">
        <f t="shared" si="4"/>
        <v>223</v>
      </c>
      <c r="L36" s="80">
        <f t="shared" si="2"/>
        <v>4377</v>
      </c>
    </row>
    <row r="38" spans="1:12" x14ac:dyDescent="0.2">
      <c r="A38" s="137" t="s">
        <v>56</v>
      </c>
      <c r="B38" s="138"/>
      <c r="C38" s="33">
        <v>0</v>
      </c>
      <c r="D38" s="33">
        <v>5</v>
      </c>
      <c r="E38" s="33">
        <v>20</v>
      </c>
      <c r="F38" s="56">
        <v>7</v>
      </c>
      <c r="G38" s="56">
        <v>9</v>
      </c>
      <c r="H38" s="56">
        <v>0</v>
      </c>
      <c r="I38" s="56">
        <v>0</v>
      </c>
      <c r="J38" s="56">
        <v>21</v>
      </c>
      <c r="K38" s="56">
        <v>0</v>
      </c>
      <c r="L38" s="120">
        <f>SUM(C38:K38)</f>
        <v>62</v>
      </c>
    </row>
    <row r="39" spans="1:12" x14ac:dyDescent="0.2">
      <c r="A39" s="60" t="s">
        <v>148</v>
      </c>
      <c r="B39" s="50"/>
      <c r="C39" s="29">
        <v>0</v>
      </c>
      <c r="D39" s="29">
        <v>0</v>
      </c>
      <c r="E39" s="29">
        <v>0</v>
      </c>
      <c r="F39" s="106">
        <v>24</v>
      </c>
      <c r="G39" s="106">
        <v>0</v>
      </c>
      <c r="H39" s="106">
        <v>12</v>
      </c>
      <c r="I39" s="106">
        <v>0</v>
      </c>
      <c r="J39" s="106">
        <v>209</v>
      </c>
      <c r="K39" s="106">
        <v>0</v>
      </c>
      <c r="L39" s="121">
        <f>SUM(C39:K39)</f>
        <v>245</v>
      </c>
    </row>
    <row r="40" spans="1:12" x14ac:dyDescent="0.2">
      <c r="A40" s="60"/>
      <c r="B40" s="50" t="s">
        <v>7</v>
      </c>
      <c r="C40" s="29">
        <f>SUM(C38:C39)</f>
        <v>0</v>
      </c>
      <c r="D40" s="29">
        <f t="shared" ref="D40:K40" si="5">SUM(D38:D39)</f>
        <v>5</v>
      </c>
      <c r="E40" s="29">
        <f t="shared" si="5"/>
        <v>20</v>
      </c>
      <c r="F40" s="29">
        <f t="shared" si="5"/>
        <v>31</v>
      </c>
      <c r="G40" s="29">
        <f t="shared" si="5"/>
        <v>9</v>
      </c>
      <c r="H40" s="179">
        <f>SUM(H38:H39)</f>
        <v>12</v>
      </c>
      <c r="I40" s="29">
        <f t="shared" si="5"/>
        <v>0</v>
      </c>
      <c r="J40" s="29">
        <f t="shared" si="5"/>
        <v>230</v>
      </c>
      <c r="K40" s="29">
        <f t="shared" si="5"/>
        <v>0</v>
      </c>
      <c r="L40" s="121">
        <f>SUM(L38:L39)</f>
        <v>307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/>
      <c r="E42" s="122">
        <v>0</v>
      </c>
      <c r="F42" s="123">
        <v>30</v>
      </c>
      <c r="G42" s="123">
        <v>0</v>
      </c>
      <c r="H42" s="123">
        <v>0</v>
      </c>
      <c r="I42" s="123">
        <v>0</v>
      </c>
      <c r="J42" s="123">
        <v>77</v>
      </c>
      <c r="K42" s="123">
        <v>0</v>
      </c>
      <c r="L42" s="124">
        <f>SUM(C42:K42)</f>
        <v>107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4">
        <f>SUM(C44:K44)</f>
        <v>0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f>SUM(C45:K45)</f>
        <v>0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>
        <v>2</v>
      </c>
      <c r="D49" s="122">
        <v>2</v>
      </c>
      <c r="E49" s="122">
        <v>1</v>
      </c>
      <c r="F49" s="129">
        <v>2</v>
      </c>
      <c r="G49" s="129">
        <v>3</v>
      </c>
      <c r="H49" s="129">
        <v>1</v>
      </c>
      <c r="I49" s="129"/>
      <c r="J49" s="129">
        <v>19</v>
      </c>
      <c r="K49" s="129">
        <v>1</v>
      </c>
      <c r="L49" s="130">
        <f t="shared" ref="L49:L75" si="6">SUM(C49:K49)</f>
        <v>31</v>
      </c>
    </row>
    <row r="50" spans="2:12" x14ac:dyDescent="0.2">
      <c r="B50" s="100" t="s">
        <v>113</v>
      </c>
      <c r="C50" s="122"/>
      <c r="D50" s="122"/>
      <c r="E50" s="129"/>
      <c r="F50" s="122"/>
      <c r="G50" s="122"/>
      <c r="H50" s="122"/>
      <c r="I50" s="122"/>
      <c r="J50" s="122"/>
      <c r="K50" s="122"/>
      <c r="L50" s="130">
        <f t="shared" si="6"/>
        <v>0</v>
      </c>
    </row>
    <row r="51" spans="2:12" x14ac:dyDescent="0.2">
      <c r="B51" s="100" t="s">
        <v>103</v>
      </c>
      <c r="C51" s="122"/>
      <c r="D51" s="122"/>
      <c r="E51" s="122">
        <v>6</v>
      </c>
      <c r="F51" s="122">
        <v>2</v>
      </c>
      <c r="G51" s="129"/>
      <c r="H51" s="129"/>
      <c r="I51" s="122"/>
      <c r="J51" s="122">
        <v>2</v>
      </c>
      <c r="K51" s="129"/>
      <c r="L51" s="130">
        <f t="shared" si="6"/>
        <v>10</v>
      </c>
    </row>
    <row r="52" spans="2:12" x14ac:dyDescent="0.2">
      <c r="B52" s="100" t="s">
        <v>137</v>
      </c>
      <c r="C52" s="122"/>
      <c r="D52" s="122">
        <v>1</v>
      </c>
      <c r="E52" s="122"/>
      <c r="F52" s="122"/>
      <c r="G52" s="129"/>
      <c r="H52" s="122"/>
      <c r="I52" s="122"/>
      <c r="J52" s="122">
        <v>2</v>
      </c>
      <c r="K52" s="129"/>
      <c r="L52" s="130">
        <f t="shared" si="6"/>
        <v>3</v>
      </c>
    </row>
    <row r="53" spans="2:12" x14ac:dyDescent="0.2">
      <c r="B53" s="100" t="s">
        <v>149</v>
      </c>
      <c r="C53" s="129"/>
      <c r="D53" s="122"/>
      <c r="E53" s="122"/>
      <c r="F53" s="122">
        <v>2</v>
      </c>
      <c r="G53" s="129">
        <v>3</v>
      </c>
      <c r="H53" s="122">
        <v>3</v>
      </c>
      <c r="I53" s="122">
        <v>3</v>
      </c>
      <c r="J53" s="122">
        <v>16</v>
      </c>
      <c r="K53" s="129">
        <v>3</v>
      </c>
      <c r="L53" s="130">
        <f t="shared" si="6"/>
        <v>30</v>
      </c>
    </row>
    <row r="54" spans="2:12" x14ac:dyDescent="0.2">
      <c r="B54" s="100" t="s">
        <v>104</v>
      </c>
      <c r="C54" s="129"/>
      <c r="D54" s="122"/>
      <c r="E54" s="129">
        <v>7</v>
      </c>
      <c r="F54" s="129">
        <v>2</v>
      </c>
      <c r="G54" s="129">
        <v>5</v>
      </c>
      <c r="H54" s="122">
        <v>3</v>
      </c>
      <c r="I54" s="122"/>
      <c r="J54" s="122">
        <v>8</v>
      </c>
      <c r="K54" s="122"/>
      <c r="L54" s="130">
        <f t="shared" si="6"/>
        <v>25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>
        <v>1</v>
      </c>
      <c r="D56" s="122"/>
      <c r="E56" s="129"/>
      <c r="F56" s="129"/>
      <c r="G56" s="129"/>
      <c r="H56" s="129"/>
      <c r="I56" s="129"/>
      <c r="J56" s="129"/>
      <c r="K56" s="129"/>
      <c r="L56" s="130">
        <f t="shared" si="6"/>
        <v>1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>
        <v>1</v>
      </c>
      <c r="K57" s="129"/>
      <c r="L57" s="130">
        <f t="shared" si="6"/>
        <v>1</v>
      </c>
    </row>
    <row r="58" spans="2:12" x14ac:dyDescent="0.2">
      <c r="B58" s="100" t="s">
        <v>102</v>
      </c>
      <c r="C58" s="122">
        <v>2</v>
      </c>
      <c r="D58" s="122">
        <v>1</v>
      </c>
      <c r="E58" s="129"/>
      <c r="F58" s="129">
        <v>9</v>
      </c>
      <c r="G58" s="129">
        <v>4</v>
      </c>
      <c r="H58" s="129">
        <v>1</v>
      </c>
      <c r="I58" s="122"/>
      <c r="J58" s="122">
        <v>12</v>
      </c>
      <c r="K58" s="129">
        <v>2</v>
      </c>
      <c r="L58" s="130">
        <f t="shared" si="6"/>
        <v>31</v>
      </c>
    </row>
    <row r="59" spans="2:12" x14ac:dyDescent="0.2">
      <c r="B59" s="100" t="s">
        <v>105</v>
      </c>
      <c r="C59" s="122">
        <v>1</v>
      </c>
      <c r="D59" s="122"/>
      <c r="E59" s="129">
        <v>11</v>
      </c>
      <c r="F59" s="129">
        <v>3</v>
      </c>
      <c r="G59" s="129">
        <v>2</v>
      </c>
      <c r="H59" s="129"/>
      <c r="I59" s="122">
        <v>1</v>
      </c>
      <c r="J59" s="122">
        <v>13</v>
      </c>
      <c r="K59" s="129"/>
      <c r="L59" s="130">
        <f t="shared" si="6"/>
        <v>31</v>
      </c>
    </row>
    <row r="60" spans="2:12" x14ac:dyDescent="0.2">
      <c r="B60" s="100" t="s">
        <v>90</v>
      </c>
      <c r="C60" s="122">
        <v>2</v>
      </c>
      <c r="D60" s="122"/>
      <c r="E60" s="122">
        <v>3</v>
      </c>
      <c r="F60" s="122">
        <v>12</v>
      </c>
      <c r="G60" s="129">
        <v>3</v>
      </c>
      <c r="H60" s="129">
        <v>6</v>
      </c>
      <c r="I60" s="122"/>
      <c r="J60" s="122">
        <v>11</v>
      </c>
      <c r="K60" s="129">
        <v>3</v>
      </c>
      <c r="L60" s="130">
        <f t="shared" si="6"/>
        <v>40</v>
      </c>
    </row>
    <row r="61" spans="2:12" x14ac:dyDescent="0.2">
      <c r="B61" s="111" t="s">
        <v>41</v>
      </c>
      <c r="C61" s="122">
        <v>1</v>
      </c>
      <c r="D61" s="122">
        <v>11</v>
      </c>
      <c r="E61" s="129">
        <v>15</v>
      </c>
      <c r="F61" s="129">
        <v>31</v>
      </c>
      <c r="G61" s="129">
        <v>33</v>
      </c>
      <c r="H61" s="129">
        <v>4</v>
      </c>
      <c r="I61" s="129">
        <v>3</v>
      </c>
      <c r="J61" s="129">
        <v>35</v>
      </c>
      <c r="K61" s="129">
        <v>2</v>
      </c>
      <c r="L61" s="130">
        <f t="shared" si="6"/>
        <v>135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6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/>
      <c r="H64" s="129"/>
      <c r="I64" s="129"/>
      <c r="J64" s="129"/>
      <c r="K64" s="129"/>
      <c r="L64" s="130">
        <f t="shared" si="6"/>
        <v>0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/>
      <c r="I65" s="129"/>
      <c r="J65" s="129"/>
      <c r="K65" s="129"/>
      <c r="L65" s="130">
        <f t="shared" si="6"/>
        <v>0</v>
      </c>
    </row>
    <row r="66" spans="1:13" x14ac:dyDescent="0.2">
      <c r="B66" s="111" t="s">
        <v>80</v>
      </c>
      <c r="C66" s="129">
        <v>10</v>
      </c>
      <c r="D66" s="129">
        <v>12</v>
      </c>
      <c r="E66" s="129">
        <v>30</v>
      </c>
      <c r="F66" s="129">
        <v>47</v>
      </c>
      <c r="G66" s="129">
        <v>29</v>
      </c>
      <c r="H66" s="129">
        <v>10</v>
      </c>
      <c r="I66" s="129"/>
      <c r="J66" s="129">
        <v>76</v>
      </c>
      <c r="K66" s="129">
        <v>23</v>
      </c>
      <c r="L66" s="130">
        <f t="shared" si="6"/>
        <v>237</v>
      </c>
    </row>
    <row r="67" spans="1:13" x14ac:dyDescent="0.2">
      <c r="B67" s="100" t="s">
        <v>151</v>
      </c>
      <c r="C67" s="129"/>
      <c r="D67" s="129"/>
      <c r="E67" s="129">
        <v>1</v>
      </c>
      <c r="F67" s="129"/>
      <c r="G67" s="129"/>
      <c r="H67" s="129"/>
      <c r="I67" s="129"/>
      <c r="J67" s="129"/>
      <c r="K67" s="129"/>
      <c r="L67" s="130">
        <f t="shared" si="6"/>
        <v>1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/>
      <c r="D69" s="122">
        <v>1</v>
      </c>
      <c r="E69" s="129">
        <v>9</v>
      </c>
      <c r="F69" s="129">
        <v>10</v>
      </c>
      <c r="G69" s="129">
        <v>1</v>
      </c>
      <c r="H69" s="129">
        <v>4</v>
      </c>
      <c r="I69" s="129"/>
      <c r="J69" s="129">
        <v>1</v>
      </c>
      <c r="K69" s="129"/>
      <c r="L69" s="130">
        <f t="shared" si="6"/>
        <v>26</v>
      </c>
    </row>
    <row r="70" spans="1:13" x14ac:dyDescent="0.2">
      <c r="B70" s="100" t="s">
        <v>152</v>
      </c>
      <c r="C70" s="129">
        <v>1</v>
      </c>
      <c r="D70" s="122"/>
      <c r="E70" s="129">
        <v>4</v>
      </c>
      <c r="F70" s="129">
        <v>5</v>
      </c>
      <c r="G70" s="129">
        <v>5</v>
      </c>
      <c r="H70" s="129"/>
      <c r="I70" s="129">
        <v>1</v>
      </c>
      <c r="J70" s="129">
        <v>4</v>
      </c>
      <c r="K70" s="129"/>
      <c r="L70" s="130">
        <f t="shared" si="6"/>
        <v>20</v>
      </c>
    </row>
    <row r="71" spans="1:13" x14ac:dyDescent="0.2">
      <c r="B71" s="100" t="s">
        <v>43</v>
      </c>
      <c r="C71" s="129">
        <v>5</v>
      </c>
      <c r="D71" s="122">
        <v>8</v>
      </c>
      <c r="E71" s="129">
        <v>15</v>
      </c>
      <c r="F71" s="129">
        <v>13</v>
      </c>
      <c r="G71" s="129">
        <v>10</v>
      </c>
      <c r="H71" s="129">
        <v>6</v>
      </c>
      <c r="I71" s="129"/>
      <c r="J71" s="129">
        <v>24</v>
      </c>
      <c r="K71" s="129">
        <v>7</v>
      </c>
      <c r="L71" s="130">
        <f t="shared" si="6"/>
        <v>88</v>
      </c>
    </row>
    <row r="72" spans="1:13" x14ac:dyDescent="0.2">
      <c r="B72" s="100" t="s">
        <v>42</v>
      </c>
      <c r="C72" s="122"/>
      <c r="D72" s="122"/>
      <c r="E72" s="122"/>
      <c r="F72" s="129"/>
      <c r="G72" s="122"/>
      <c r="H72" s="129"/>
      <c r="I72" s="129"/>
      <c r="J72" s="129"/>
      <c r="K72" s="129"/>
      <c r="L72" s="130">
        <f t="shared" si="6"/>
        <v>0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6"/>
        <v>0</v>
      </c>
    </row>
    <row r="75" spans="1:13" ht="13.5" thickBot="1" x14ac:dyDescent="0.25">
      <c r="B75" s="66" t="s">
        <v>66</v>
      </c>
      <c r="C75" s="3"/>
      <c r="D75" s="3"/>
      <c r="E75" s="3"/>
      <c r="F75" s="3">
        <v>2</v>
      </c>
      <c r="G75" s="3">
        <v>3</v>
      </c>
      <c r="H75" s="3">
        <v>1</v>
      </c>
      <c r="I75" s="3"/>
      <c r="J75" s="3">
        <v>6</v>
      </c>
      <c r="K75" s="3"/>
      <c r="L75" s="176">
        <f t="shared" si="6"/>
        <v>12</v>
      </c>
    </row>
    <row r="76" spans="1:13" ht="13.5" thickTop="1" x14ac:dyDescent="0.2">
      <c r="B76" s="58" t="s">
        <v>7</v>
      </c>
      <c r="C76" s="38">
        <f t="shared" ref="C76:L76" si="7">SUM(C49:C75)</f>
        <v>25</v>
      </c>
      <c r="D76" s="38">
        <f t="shared" si="7"/>
        <v>36</v>
      </c>
      <c r="E76" s="38">
        <f t="shared" si="7"/>
        <v>102</v>
      </c>
      <c r="F76" s="38">
        <f t="shared" si="7"/>
        <v>140</v>
      </c>
      <c r="G76" s="38">
        <f t="shared" si="7"/>
        <v>101</v>
      </c>
      <c r="H76" s="38">
        <f t="shared" si="7"/>
        <v>39</v>
      </c>
      <c r="I76" s="38">
        <f t="shared" si="7"/>
        <v>8</v>
      </c>
      <c r="J76" s="38">
        <f t="shared" si="7"/>
        <v>230</v>
      </c>
      <c r="K76" s="38">
        <f t="shared" si="7"/>
        <v>41</v>
      </c>
      <c r="L76" s="38">
        <f t="shared" si="7"/>
        <v>722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46688</v>
      </c>
      <c r="C82" s="29">
        <f>78+42+23</f>
        <v>143</v>
      </c>
      <c r="D82" s="29">
        <v>1350</v>
      </c>
      <c r="E82" s="4">
        <f>4+43+14+8+78+24+30+67+6+30+1</f>
        <v>305</v>
      </c>
      <c r="F82" s="4">
        <f>49+3+18+4+1+5+4+5+2+11+4+66+3+4+2+9+3+10+2+19+14+4+8+1+15+2+21+7+1+6+3+12+8+9+3+24+5+2+2+3+33+16</f>
        <v>423</v>
      </c>
      <c r="G82" s="29">
        <v>275</v>
      </c>
      <c r="H82" s="4">
        <f>20+175+3005</f>
        <v>3200</v>
      </c>
      <c r="I82" s="4">
        <v>9</v>
      </c>
      <c r="J82" s="29">
        <v>17</v>
      </c>
      <c r="K82" s="4">
        <v>5</v>
      </c>
      <c r="L82" s="29">
        <f>1784+4388+177</f>
        <v>6349</v>
      </c>
      <c r="M82" s="36">
        <f>SUM(B82:L82)</f>
        <v>58764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215</v>
      </c>
      <c r="L84" s="29">
        <v>4388</v>
      </c>
    </row>
    <row r="85" spans="1:13" x14ac:dyDescent="0.2">
      <c r="A85" s="29"/>
      <c r="B85" s="29"/>
      <c r="C85" s="29"/>
      <c r="D85" s="29"/>
      <c r="E85" s="29"/>
      <c r="F85" s="29"/>
      <c r="G85" s="47" t="s">
        <v>240</v>
      </c>
      <c r="H85" s="29"/>
      <c r="J85" s="29"/>
      <c r="K85" s="29" t="s">
        <v>214</v>
      </c>
      <c r="L85" s="29"/>
      <c r="M85">
        <v>177</v>
      </c>
    </row>
    <row r="86" spans="1:13" x14ac:dyDescent="0.2">
      <c r="A86" s="137" t="s">
        <v>86</v>
      </c>
      <c r="B86" s="138"/>
      <c r="C86" s="64">
        <v>553</v>
      </c>
      <c r="F86" s="137" t="s">
        <v>48</v>
      </c>
      <c r="G86" s="138"/>
      <c r="H86" s="64">
        <v>260</v>
      </c>
      <c r="J86" s="137" t="s">
        <v>73</v>
      </c>
      <c r="K86" s="142"/>
      <c r="L86" s="142"/>
      <c r="M86" s="34">
        <v>6</v>
      </c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262</v>
      </c>
      <c r="J87" s="140" t="s">
        <v>74</v>
      </c>
      <c r="K87" s="152"/>
      <c r="L87" s="152"/>
      <c r="M87" s="39">
        <v>0</v>
      </c>
    </row>
    <row r="88" spans="1:13" x14ac:dyDescent="0.2">
      <c r="A88" s="140" t="s">
        <v>87</v>
      </c>
      <c r="B88" s="152"/>
      <c r="C88" s="39">
        <v>60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f>5+1</f>
        <v>6</v>
      </c>
      <c r="D91" s="6"/>
      <c r="E91" s="31" t="s">
        <v>9</v>
      </c>
      <c r="F91" s="29"/>
      <c r="G91" s="36">
        <f>278+41</f>
        <v>319</v>
      </c>
      <c r="I91" s="35" t="s">
        <v>127</v>
      </c>
      <c r="J91" s="29"/>
      <c r="K91" s="29"/>
      <c r="L91" s="36">
        <v>567</v>
      </c>
      <c r="M91" s="6"/>
    </row>
    <row r="92" spans="1:13" x14ac:dyDescent="0.2">
      <c r="A92" s="35" t="s">
        <v>28</v>
      </c>
      <c r="B92" s="29"/>
      <c r="C92" s="36">
        <v>0</v>
      </c>
      <c r="D92" s="6"/>
      <c r="E92" s="31" t="s">
        <v>10</v>
      </c>
      <c r="F92" s="29"/>
      <c r="G92" s="36">
        <f>111+61</f>
        <v>172</v>
      </c>
      <c r="I92" s="35" t="s">
        <v>128</v>
      </c>
      <c r="J92" s="29"/>
      <c r="K92" s="29"/>
      <c r="L92" s="36">
        <v>123</v>
      </c>
      <c r="M92" s="6"/>
    </row>
    <row r="93" spans="1:13" x14ac:dyDescent="0.2">
      <c r="A93" s="35" t="s">
        <v>118</v>
      </c>
      <c r="B93" s="29"/>
      <c r="C93" s="36">
        <f>38+3</f>
        <v>41</v>
      </c>
      <c r="D93" s="6"/>
      <c r="E93" s="31" t="s">
        <v>11</v>
      </c>
      <c r="F93" s="29"/>
      <c r="G93" s="36">
        <f>15+1</f>
        <v>16</v>
      </c>
      <c r="I93" s="35" t="s">
        <v>45</v>
      </c>
      <c r="J93" s="29"/>
      <c r="K93" s="29"/>
      <c r="L93" s="36">
        <v>31</v>
      </c>
      <c r="M93" s="6"/>
    </row>
    <row r="94" spans="1:13" x14ac:dyDescent="0.2">
      <c r="A94" s="35" t="s">
        <v>119</v>
      </c>
      <c r="B94" s="47"/>
      <c r="C94" s="36">
        <f>560+20+18</f>
        <v>598</v>
      </c>
      <c r="D94" s="6"/>
      <c r="E94" s="31" t="s">
        <v>37</v>
      </c>
      <c r="F94" s="29"/>
      <c r="G94" s="36">
        <f>438+16</f>
        <v>454</v>
      </c>
      <c r="I94" s="35" t="s">
        <v>46</v>
      </c>
      <c r="J94" s="29"/>
      <c r="K94" s="29"/>
      <c r="L94" s="36">
        <v>9</v>
      </c>
      <c r="M94" s="6"/>
    </row>
    <row r="95" spans="1:13" x14ac:dyDescent="0.2">
      <c r="A95" s="35" t="s">
        <v>101</v>
      </c>
      <c r="B95" s="47"/>
      <c r="C95" s="36">
        <f>43+2+17</f>
        <v>62</v>
      </c>
      <c r="D95" s="6"/>
      <c r="E95" s="41" t="s">
        <v>38</v>
      </c>
      <c r="F95" s="38"/>
      <c r="G95" s="39">
        <v>0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f>10+1</f>
        <v>11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f>62</f>
        <v>62</v>
      </c>
    </row>
    <row r="98" spans="1:13" x14ac:dyDescent="0.2">
      <c r="A98" s="35" t="s">
        <v>120</v>
      </c>
      <c r="B98" s="29"/>
      <c r="C98" s="36">
        <f>2</f>
        <v>2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39</v>
      </c>
    </row>
    <row r="100" spans="1:13" x14ac:dyDescent="0.2">
      <c r="A100" s="89" t="s">
        <v>122</v>
      </c>
      <c r="B100" s="47"/>
      <c r="C100" s="36">
        <v>0</v>
      </c>
      <c r="E100" s="35" t="s">
        <v>32</v>
      </c>
      <c r="F100" s="47"/>
      <c r="G100" s="47"/>
      <c r="H100" s="42">
        <v>25</v>
      </c>
    </row>
    <row r="101" spans="1:13" x14ac:dyDescent="0.2">
      <c r="A101" s="89" t="s">
        <v>18</v>
      </c>
      <c r="B101" s="29"/>
      <c r="C101" s="51">
        <v>14</v>
      </c>
      <c r="E101" s="37" t="s">
        <v>47</v>
      </c>
      <c r="F101" s="55"/>
      <c r="G101" s="38"/>
      <c r="H101" s="39"/>
      <c r="I101" s="2"/>
      <c r="J101" s="1"/>
    </row>
    <row r="102" spans="1:13" x14ac:dyDescent="0.2">
      <c r="A102" s="91" t="s">
        <v>20</v>
      </c>
      <c r="B102" s="38"/>
      <c r="C102" s="39">
        <f>2+611+98+59</f>
        <v>770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137" t="s">
        <v>391</v>
      </c>
      <c r="J103" s="138"/>
      <c r="K103" s="33"/>
      <c r="L103" s="33"/>
      <c r="M103" s="34"/>
    </row>
    <row r="104" spans="1:13" x14ac:dyDescent="0.2">
      <c r="A104" s="79"/>
      <c r="B104" s="29"/>
      <c r="C104" s="29"/>
      <c r="I104" s="37" t="s">
        <v>390</v>
      </c>
      <c r="J104" s="55"/>
      <c r="K104" s="38">
        <v>36</v>
      </c>
      <c r="L104" s="38">
        <v>26</v>
      </c>
      <c r="M104" s="39" t="s">
        <v>392</v>
      </c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1136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0</v>
      </c>
      <c r="E108" s="111">
        <v>258</v>
      </c>
      <c r="F108" s="31"/>
      <c r="H108" s="1"/>
      <c r="I108" s="60" t="s">
        <v>133</v>
      </c>
      <c r="J108" s="50"/>
      <c r="L108">
        <v>977</v>
      </c>
      <c r="M108" s="36"/>
    </row>
    <row r="109" spans="1:13" x14ac:dyDescent="0.2">
      <c r="A109" s="1"/>
      <c r="B109" s="228" t="s">
        <v>97</v>
      </c>
      <c r="C109" s="229"/>
      <c r="D109" s="15">
        <v>500</v>
      </c>
      <c r="E109" s="157"/>
      <c r="F109" s="31"/>
      <c r="I109" s="60" t="s">
        <v>212</v>
      </c>
      <c r="K109" s="29"/>
      <c r="L109" s="29">
        <v>923</v>
      </c>
      <c r="M109" s="36"/>
    </row>
    <row r="110" spans="1:13" x14ac:dyDescent="0.2">
      <c r="B110" s="194" t="s">
        <v>348</v>
      </c>
      <c r="C110" s="15"/>
      <c r="D110" s="15">
        <v>126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45</v>
      </c>
      <c r="E111" s="112"/>
      <c r="F111" s="160"/>
      <c r="I111" s="60" t="s">
        <v>145</v>
      </c>
      <c r="J111" s="50"/>
      <c r="K111" s="50"/>
      <c r="L111" s="47">
        <v>192</v>
      </c>
      <c r="M111" s="63"/>
    </row>
    <row r="112" spans="1:13" x14ac:dyDescent="0.2">
      <c r="A112" s="1"/>
      <c r="B112" s="232" t="s">
        <v>244</v>
      </c>
      <c r="C112" s="233"/>
      <c r="D112" s="15"/>
      <c r="E112" s="112">
        <v>12</v>
      </c>
      <c r="F112" s="160" t="s">
        <v>245</v>
      </c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136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102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30</v>
      </c>
      <c r="E115" s="115"/>
      <c r="F115" s="161"/>
      <c r="I115" s="87" t="s">
        <v>111</v>
      </c>
      <c r="J115" s="33"/>
      <c r="K115" s="88">
        <v>1060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505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>
        <v>107</v>
      </c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0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22</v>
      </c>
      <c r="E120" s="114">
        <v>195</v>
      </c>
      <c r="F120" s="163"/>
      <c r="I120" s="95" t="s">
        <v>22</v>
      </c>
      <c r="J120" s="86"/>
      <c r="K120" s="29">
        <v>4</v>
      </c>
      <c r="L120" s="29"/>
      <c r="M120" s="94">
        <f>SUM(K120:L120)</f>
        <v>4</v>
      </c>
    </row>
    <row r="121" spans="1:13" x14ac:dyDescent="0.2">
      <c r="B121" s="100" t="s">
        <v>144</v>
      </c>
      <c r="D121" s="13">
        <v>13</v>
      </c>
      <c r="E121" s="111"/>
      <c r="F121" s="31"/>
      <c r="I121" s="171" t="s">
        <v>169</v>
      </c>
      <c r="J121" s="86"/>
      <c r="K121" s="29">
        <v>1</v>
      </c>
      <c r="L121" s="29"/>
      <c r="M121" s="94">
        <f>SUM(K121:L121)</f>
        <v>1</v>
      </c>
    </row>
    <row r="122" spans="1:13" x14ac:dyDescent="0.2">
      <c r="A122" s="1"/>
      <c r="B122" s="32" t="s">
        <v>159</v>
      </c>
      <c r="C122" s="13"/>
      <c r="D122" s="13">
        <v>931</v>
      </c>
      <c r="E122" s="115"/>
      <c r="F122" s="162"/>
      <c r="I122" s="171" t="s">
        <v>170</v>
      </c>
      <c r="J122" s="86"/>
      <c r="K122" s="29"/>
      <c r="L122" s="29"/>
      <c r="M122" s="94">
        <f>SUM(K122:L122)</f>
        <v>0</v>
      </c>
    </row>
    <row r="123" spans="1:13" x14ac:dyDescent="0.2">
      <c r="A123" s="1"/>
      <c r="B123" s="101" t="s">
        <v>135</v>
      </c>
      <c r="C123" s="13"/>
      <c r="D123" s="13">
        <v>115</v>
      </c>
      <c r="E123" s="158"/>
      <c r="F123" s="162"/>
      <c r="I123" s="172" t="s">
        <v>23</v>
      </c>
      <c r="J123" s="173"/>
      <c r="K123" s="93">
        <v>18</v>
      </c>
      <c r="L123" s="93"/>
      <c r="M123" s="174">
        <f>SUM(K123:L123)</f>
        <v>18</v>
      </c>
    </row>
    <row r="124" spans="1:13" x14ac:dyDescent="0.2">
      <c r="A124" s="1"/>
      <c r="B124" s="101" t="s">
        <v>141</v>
      </c>
      <c r="C124" s="13"/>
      <c r="D124" s="13">
        <v>45</v>
      </c>
      <c r="E124" s="158"/>
      <c r="F124" s="162"/>
      <c r="I124" s="171" t="s">
        <v>146</v>
      </c>
      <c r="J124" s="86"/>
      <c r="K124" s="4">
        <v>2</v>
      </c>
      <c r="L124" s="4"/>
      <c r="M124" s="94">
        <f>SUM(K124:L124)</f>
        <v>2</v>
      </c>
    </row>
    <row r="125" spans="1:13" x14ac:dyDescent="0.2">
      <c r="A125" s="1"/>
      <c r="B125" s="101" t="s">
        <v>126</v>
      </c>
      <c r="C125" s="13"/>
      <c r="D125" s="13">
        <v>7</v>
      </c>
      <c r="E125" s="158"/>
      <c r="F125" s="162"/>
      <c r="I125" s="96" t="s">
        <v>273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>
        <v>16</v>
      </c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SUM(D107:D126)</f>
        <v>3331</v>
      </c>
      <c r="E127">
        <f>SUM(E107:E126)</f>
        <v>465</v>
      </c>
      <c r="I127" s="132" t="s">
        <v>106</v>
      </c>
      <c r="J127" s="139"/>
      <c r="K127" s="105">
        <v>3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3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f>83+12</f>
        <v>95</v>
      </c>
      <c r="D134" s="29">
        <f>30+3</f>
        <v>33</v>
      </c>
      <c r="E134" s="29">
        <f>564+61</f>
        <v>625</v>
      </c>
      <c r="F134" s="4">
        <f>330+28</f>
        <v>358</v>
      </c>
      <c r="G134" s="4">
        <f>146+8</f>
        <v>154</v>
      </c>
      <c r="H134" s="4">
        <v>0</v>
      </c>
      <c r="I134" s="4">
        <f>7+28</f>
        <v>35</v>
      </c>
      <c r="J134" s="4">
        <f>11+175</f>
        <v>186</v>
      </c>
      <c r="K134" s="4">
        <f>24+252</f>
        <v>276</v>
      </c>
      <c r="L134" s="51">
        <f>SUM(C134:K134)</f>
        <v>1762</v>
      </c>
    </row>
    <row r="135" spans="1:13" x14ac:dyDescent="0.2">
      <c r="A135" s="31"/>
      <c r="B135" s="50" t="s">
        <v>9</v>
      </c>
      <c r="C135" s="169" t="s">
        <v>394</v>
      </c>
      <c r="D135" s="169" t="s">
        <v>394</v>
      </c>
      <c r="E135" s="169" t="s">
        <v>394</v>
      </c>
      <c r="F135" s="170">
        <f>122+9</f>
        <v>131</v>
      </c>
      <c r="G135" s="170" t="s">
        <v>394</v>
      </c>
      <c r="H135" s="170" t="s">
        <v>394</v>
      </c>
      <c r="I135" s="170" t="s">
        <v>394</v>
      </c>
      <c r="J135" s="170">
        <f>143+20</f>
        <v>163</v>
      </c>
      <c r="K135" s="170" t="s">
        <v>394</v>
      </c>
      <c r="L135" s="51">
        <f>SUM(C135:K135)</f>
        <v>294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0</v>
      </c>
      <c r="E136" s="155">
        <v>0</v>
      </c>
      <c r="F136" s="155">
        <v>3</v>
      </c>
      <c r="G136" s="155">
        <v>0</v>
      </c>
      <c r="H136" s="155">
        <v>0</v>
      </c>
      <c r="I136" s="168" t="s">
        <v>394</v>
      </c>
      <c r="J136" s="155">
        <v>0</v>
      </c>
      <c r="K136" s="155">
        <v>0</v>
      </c>
      <c r="L136" s="131">
        <f>SUM(C136:K136)</f>
        <v>3</v>
      </c>
    </row>
    <row r="137" spans="1:13" ht="13.5" thickTop="1" x14ac:dyDescent="0.2">
      <c r="A137" s="31"/>
      <c r="B137" s="50" t="s">
        <v>14</v>
      </c>
      <c r="C137" s="29">
        <f>SUM(C134:C136)</f>
        <v>95</v>
      </c>
      <c r="D137" s="29">
        <f>SUM(D134:D136)</f>
        <v>33</v>
      </c>
      <c r="E137" s="29">
        <f t="shared" ref="E137:L137" si="8">SUM(E134:E136)</f>
        <v>625</v>
      </c>
      <c r="F137" s="29">
        <f t="shared" si="8"/>
        <v>492</v>
      </c>
      <c r="G137" s="29">
        <f t="shared" si="8"/>
        <v>154</v>
      </c>
      <c r="H137" s="29">
        <f t="shared" si="8"/>
        <v>0</v>
      </c>
      <c r="I137" s="29">
        <f t="shared" si="8"/>
        <v>35</v>
      </c>
      <c r="J137" s="29">
        <f t="shared" si="8"/>
        <v>349</v>
      </c>
      <c r="K137" s="29">
        <f t="shared" si="8"/>
        <v>276</v>
      </c>
      <c r="L137" s="42">
        <f t="shared" si="8"/>
        <v>2059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125" t="s">
        <v>436</v>
      </c>
      <c r="B143" s="188"/>
      <c r="C143" s="188"/>
      <c r="D143" s="188"/>
      <c r="E143" s="20"/>
      <c r="F143" s="21"/>
      <c r="G143" s="127" t="s">
        <v>454</v>
      </c>
      <c r="H143" s="22"/>
      <c r="I143" s="68"/>
      <c r="J143" s="69"/>
      <c r="K143" s="70"/>
      <c r="L143" s="70"/>
      <c r="M143" s="103"/>
    </row>
    <row r="144" spans="1:13" x14ac:dyDescent="0.2">
      <c r="A144" s="206" t="s">
        <v>452</v>
      </c>
      <c r="B144" s="188"/>
      <c r="C144" s="188"/>
      <c r="D144" s="188"/>
      <c r="E144" s="20"/>
      <c r="F144" s="68"/>
      <c r="G144" s="127" t="s">
        <v>437</v>
      </c>
      <c r="H144" s="68"/>
      <c r="I144" s="68"/>
      <c r="J144" s="68"/>
      <c r="K144" s="71"/>
      <c r="L144" s="71"/>
      <c r="M144" s="72"/>
    </row>
    <row r="145" spans="1:13" x14ac:dyDescent="0.2">
      <c r="A145" s="187" t="s">
        <v>440</v>
      </c>
      <c r="B145" s="188"/>
      <c r="C145" s="188"/>
      <c r="D145" s="188"/>
      <c r="E145" s="20"/>
      <c r="F145" s="21"/>
      <c r="G145" s="181" t="s">
        <v>443</v>
      </c>
      <c r="H145" s="68"/>
      <c r="I145" s="68"/>
      <c r="J145" s="68"/>
      <c r="K145" s="71"/>
      <c r="L145" s="71"/>
      <c r="M145" s="72"/>
    </row>
    <row r="146" spans="1:13" x14ac:dyDescent="0.2">
      <c r="A146" s="31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36"/>
    </row>
    <row r="147" spans="1:13" ht="18" x14ac:dyDescent="0.25">
      <c r="A147" s="27" t="s">
        <v>19</v>
      </c>
      <c r="B147" s="74"/>
      <c r="C147" s="20"/>
      <c r="D147" s="20"/>
      <c r="E147" s="20"/>
      <c r="F147" s="68"/>
      <c r="G147" s="28" t="s">
        <v>155</v>
      </c>
      <c r="H147" s="68"/>
      <c r="I147" s="22"/>
      <c r="J147" s="45"/>
      <c r="K147" s="20"/>
      <c r="L147" s="20"/>
      <c r="M147" s="23"/>
    </row>
    <row r="148" spans="1:13" ht="18" x14ac:dyDescent="0.25">
      <c r="A148" s="206" t="s">
        <v>453</v>
      </c>
      <c r="B148" s="188"/>
      <c r="C148" s="188"/>
      <c r="D148" s="20"/>
      <c r="E148" s="20"/>
      <c r="F148" s="68"/>
      <c r="G148" s="127" t="s">
        <v>430</v>
      </c>
      <c r="H148" s="22"/>
      <c r="I148" s="68"/>
      <c r="J148" s="68"/>
      <c r="K148" s="20"/>
      <c r="L148" s="20"/>
      <c r="M148" s="23"/>
    </row>
    <row r="149" spans="1:13" ht="18" x14ac:dyDescent="0.25">
      <c r="A149" s="187" t="s">
        <v>441</v>
      </c>
      <c r="B149" s="127"/>
      <c r="C149" s="188"/>
      <c r="D149" s="20"/>
      <c r="E149" s="20"/>
      <c r="F149" s="20"/>
      <c r="G149" s="127" t="s">
        <v>439</v>
      </c>
      <c r="H149" s="22"/>
      <c r="I149" s="22"/>
      <c r="J149" s="22"/>
      <c r="K149" s="22"/>
      <c r="L149" s="20"/>
      <c r="M149" s="23"/>
    </row>
    <row r="150" spans="1:13" x14ac:dyDescent="0.2">
      <c r="A150" s="31"/>
      <c r="B150" s="28"/>
      <c r="C150" s="28"/>
      <c r="D150" s="20"/>
      <c r="E150" s="28"/>
      <c r="F150" s="77"/>
      <c r="G150" s="175" t="s">
        <v>432</v>
      </c>
      <c r="H150" s="29"/>
      <c r="I150" s="68"/>
      <c r="J150" s="68"/>
      <c r="K150" s="20"/>
      <c r="L150" s="20"/>
      <c r="M150" s="23"/>
    </row>
    <row r="151" spans="1:13" x14ac:dyDescent="0.2">
      <c r="A151" s="27" t="s">
        <v>154</v>
      </c>
      <c r="B151" s="20"/>
      <c r="C151" s="20"/>
      <c r="D151" s="20"/>
      <c r="E151" s="20"/>
      <c r="F151" s="77"/>
      <c r="G151" s="181" t="s">
        <v>431</v>
      </c>
      <c r="H151" s="29"/>
      <c r="I151" s="68"/>
      <c r="J151" s="68"/>
      <c r="K151" s="20"/>
      <c r="L151" s="20"/>
      <c r="M151" s="23"/>
    </row>
    <row r="152" spans="1:13" x14ac:dyDescent="0.2">
      <c r="A152" s="125" t="s">
        <v>426</v>
      </c>
      <c r="B152" s="20"/>
      <c r="C152" s="20"/>
      <c r="D152" s="20"/>
      <c r="E152" s="20"/>
      <c r="F152" s="77"/>
      <c r="H152" s="29"/>
      <c r="I152" s="29"/>
      <c r="J152" s="29"/>
      <c r="K152" s="20"/>
      <c r="L152" s="20"/>
      <c r="M152" s="23"/>
    </row>
    <row r="153" spans="1:13" ht="18" x14ac:dyDescent="0.25">
      <c r="A153" s="126" t="s">
        <v>429</v>
      </c>
      <c r="B153" s="29"/>
      <c r="C153" s="29"/>
      <c r="D153" s="29"/>
      <c r="E153" s="29"/>
      <c r="F153" s="21"/>
      <c r="G153" s="29"/>
      <c r="H153" s="29"/>
      <c r="I153" s="22"/>
      <c r="J153" s="22"/>
      <c r="K153" s="20"/>
      <c r="L153" s="20"/>
      <c r="M153" s="23"/>
    </row>
    <row r="154" spans="1:13" x14ac:dyDescent="0.2">
      <c r="A154" s="125" t="s">
        <v>428</v>
      </c>
      <c r="B154" s="20"/>
      <c r="C154" s="20"/>
      <c r="D154" s="20"/>
      <c r="E154" s="20"/>
      <c r="F154" s="21"/>
      <c r="G154" s="28" t="s">
        <v>101</v>
      </c>
      <c r="H154" s="29"/>
      <c r="I154" s="68"/>
      <c r="J154" s="68"/>
      <c r="K154" s="71"/>
      <c r="L154" s="71"/>
      <c r="M154" s="72"/>
    </row>
    <row r="155" spans="1:13" x14ac:dyDescent="0.2">
      <c r="A155" s="125" t="s">
        <v>435</v>
      </c>
      <c r="B155" s="20"/>
      <c r="C155" s="20"/>
      <c r="D155" s="20"/>
      <c r="E155" s="20"/>
      <c r="F155" s="21"/>
      <c r="G155" s="127" t="s">
        <v>448</v>
      </c>
      <c r="H155" s="29"/>
      <c r="I155" s="68"/>
      <c r="J155" s="68"/>
      <c r="K155" s="71"/>
      <c r="L155" s="71"/>
      <c r="M155" s="72"/>
    </row>
    <row r="156" spans="1:13" x14ac:dyDescent="0.2">
      <c r="A156" s="126" t="s">
        <v>438</v>
      </c>
      <c r="B156" s="20"/>
      <c r="C156" s="20"/>
      <c r="D156" s="20"/>
      <c r="E156" s="20"/>
      <c r="F156" s="21"/>
      <c r="G156" s="205" t="s">
        <v>449</v>
      </c>
      <c r="H156" s="29"/>
      <c r="I156" s="68"/>
      <c r="J156" s="68"/>
      <c r="K156" s="71"/>
      <c r="L156" s="71"/>
      <c r="M156" s="72"/>
    </row>
    <row r="157" spans="1:13" ht="18" x14ac:dyDescent="0.25">
      <c r="A157" s="125" t="s">
        <v>442</v>
      </c>
      <c r="B157" s="20"/>
      <c r="C157" s="20"/>
      <c r="D157" s="20"/>
      <c r="E157" s="20"/>
      <c r="F157" s="21"/>
      <c r="G157" s="178" t="s">
        <v>450</v>
      </c>
      <c r="H157" s="29"/>
      <c r="I157" s="22"/>
      <c r="J157" s="22"/>
      <c r="K157" s="71"/>
      <c r="L157" s="71"/>
      <c r="M157" s="72"/>
    </row>
    <row r="158" spans="1:13" x14ac:dyDescent="0.2">
      <c r="A158" s="125" t="s">
        <v>451</v>
      </c>
      <c r="B158" s="20"/>
      <c r="C158" s="20"/>
      <c r="D158" s="29"/>
      <c r="E158" s="29"/>
      <c r="F158" s="29"/>
      <c r="G158" s="178"/>
      <c r="H158" s="29"/>
      <c r="I158" s="29"/>
      <c r="J158" s="29"/>
      <c r="K158" s="29"/>
      <c r="L158" s="29"/>
      <c r="M158" s="36"/>
    </row>
    <row r="159" spans="1:13" x14ac:dyDescent="0.2">
      <c r="A159" s="31"/>
      <c r="B159" s="20"/>
      <c r="C159" s="20"/>
      <c r="D159" s="20"/>
      <c r="E159" s="20"/>
      <c r="F159" s="21"/>
      <c r="G159" s="109" t="s">
        <v>156</v>
      </c>
      <c r="H159" s="29"/>
      <c r="I159" s="29"/>
      <c r="J159" s="29"/>
      <c r="K159" s="71"/>
      <c r="L159" s="71"/>
      <c r="M159" s="72"/>
    </row>
    <row r="160" spans="1:13" x14ac:dyDescent="0.2">
      <c r="A160" s="213" t="s">
        <v>157</v>
      </c>
      <c r="B160" s="28"/>
      <c r="C160" s="28"/>
      <c r="D160" s="20"/>
      <c r="E160" s="20"/>
      <c r="F160" s="21"/>
      <c r="G160" s="127" t="s">
        <v>427</v>
      </c>
      <c r="H160" s="29"/>
      <c r="I160" s="68"/>
      <c r="J160" s="68"/>
      <c r="K160" s="71"/>
      <c r="L160" s="71"/>
      <c r="M160" s="72"/>
    </row>
    <row r="161" spans="1:13" x14ac:dyDescent="0.2">
      <c r="A161" s="214" t="s">
        <v>433</v>
      </c>
      <c r="B161" s="20"/>
      <c r="C161" s="20"/>
      <c r="D161" s="20"/>
      <c r="E161" s="74"/>
      <c r="F161" s="20"/>
      <c r="G161" s="178" t="s">
        <v>444</v>
      </c>
      <c r="H161" s="29"/>
      <c r="I161" s="20"/>
      <c r="J161" s="68"/>
      <c r="K161" s="29"/>
      <c r="L161" s="29"/>
      <c r="M161" s="36"/>
    </row>
    <row r="162" spans="1:13" ht="18" x14ac:dyDescent="0.25">
      <c r="A162" s="214" t="s">
        <v>434</v>
      </c>
      <c r="B162" s="20"/>
      <c r="C162" s="20"/>
      <c r="D162" s="20"/>
      <c r="E162" s="20"/>
      <c r="F162" s="21"/>
      <c r="G162" s="178" t="s">
        <v>445</v>
      </c>
      <c r="H162" s="29"/>
      <c r="I162" s="22"/>
      <c r="J162" s="22"/>
      <c r="K162" s="20"/>
      <c r="L162" s="20"/>
      <c r="M162" s="23"/>
    </row>
    <row r="163" spans="1:13" ht="18" x14ac:dyDescent="0.25">
      <c r="A163" s="187" t="s">
        <v>446</v>
      </c>
      <c r="B163" s="20"/>
      <c r="C163" s="20"/>
      <c r="D163" s="20"/>
      <c r="E163" s="74"/>
      <c r="F163" s="68"/>
      <c r="G163" s="178" t="s">
        <v>447</v>
      </c>
      <c r="H163" s="69"/>
      <c r="I163" s="68"/>
      <c r="J163" s="69"/>
      <c r="K163" s="70"/>
      <c r="L163" s="70"/>
      <c r="M163" s="23"/>
    </row>
    <row r="164" spans="1:13" ht="18" x14ac:dyDescent="0.25">
      <c r="A164" s="107"/>
      <c r="B164" s="24"/>
      <c r="C164" s="24"/>
      <c r="D164" s="24"/>
      <c r="E164" s="102"/>
      <c r="F164" s="76"/>
      <c r="G164" s="108"/>
      <c r="H164" s="108"/>
      <c r="I164" s="76"/>
      <c r="J164" s="108"/>
      <c r="K164" s="75"/>
      <c r="L164" s="75"/>
      <c r="M164" s="99"/>
    </row>
    <row r="165" spans="1:13" x14ac:dyDescent="0.2">
      <c r="A165" s="74"/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0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19:C119"/>
    <mergeCell ref="B108:C108"/>
    <mergeCell ref="B109:C109"/>
    <mergeCell ref="B112:C112"/>
    <mergeCell ref="B116:C116"/>
    <mergeCell ref="B117:C117"/>
    <mergeCell ref="B118:C118"/>
  </mergeCells>
  <pageMargins left="0.5" right="0.5" top="0.5" bottom="0.5" header="0.3" footer="0.5"/>
  <pageSetup scale="97" fitToHeight="0" orientation="landscape" r:id="rId1"/>
  <headerFooter>
    <oddHeader>&amp;C
&amp;RMay.
 2017
 - Page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zoomScaleNormal="100" workbookViewId="0">
      <selection activeCell="E10" sqref="E10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>
        <v>42887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87</v>
      </c>
      <c r="D7" s="29">
        <v>1</v>
      </c>
      <c r="E7" s="29">
        <v>164</v>
      </c>
      <c r="F7" s="61">
        <v>686</v>
      </c>
      <c r="G7" s="61">
        <v>103</v>
      </c>
      <c r="H7" s="61">
        <v>0</v>
      </c>
      <c r="I7" s="61">
        <v>2</v>
      </c>
      <c r="J7" s="61">
        <v>292</v>
      </c>
      <c r="K7" s="61">
        <v>31</v>
      </c>
      <c r="L7" s="166"/>
      <c r="M7" s="51">
        <f>SUM(C7:L7)</f>
        <v>1366</v>
      </c>
    </row>
    <row r="8" spans="1:18" x14ac:dyDescent="0.2">
      <c r="A8" s="31"/>
      <c r="B8" s="47" t="s">
        <v>146</v>
      </c>
      <c r="C8" s="29">
        <v>20</v>
      </c>
      <c r="D8" s="29">
        <v>0</v>
      </c>
      <c r="E8" s="29">
        <v>4</v>
      </c>
      <c r="F8" s="61">
        <v>60</v>
      </c>
      <c r="G8" s="61">
        <v>13</v>
      </c>
      <c r="H8" s="61">
        <v>0</v>
      </c>
      <c r="I8" s="61">
        <v>0</v>
      </c>
      <c r="J8" s="61">
        <v>9</v>
      </c>
      <c r="K8" s="61">
        <v>2</v>
      </c>
      <c r="L8" s="167">
        <v>9</v>
      </c>
      <c r="M8" s="51">
        <f>SUM(C8:L8)</f>
        <v>117</v>
      </c>
    </row>
    <row r="9" spans="1:18" ht="13.5" thickBot="1" x14ac:dyDescent="0.25">
      <c r="A9" s="31"/>
      <c r="B9" s="47" t="s">
        <v>147</v>
      </c>
      <c r="C9" s="3">
        <v>1</v>
      </c>
      <c r="D9" s="3">
        <v>0</v>
      </c>
      <c r="E9" s="3">
        <v>7</v>
      </c>
      <c r="F9" s="3">
        <v>62</v>
      </c>
      <c r="G9" s="3">
        <v>42</v>
      </c>
      <c r="H9" s="3">
        <v>0</v>
      </c>
      <c r="I9" s="3">
        <v>0</v>
      </c>
      <c r="J9" s="3">
        <v>25</v>
      </c>
      <c r="K9" s="3">
        <v>84</v>
      </c>
      <c r="L9" s="168"/>
      <c r="M9" s="49">
        <f>SUM(C9:K9)</f>
        <v>221</v>
      </c>
    </row>
    <row r="10" spans="1:18" ht="13.5" thickTop="1" x14ac:dyDescent="0.2">
      <c r="A10" s="41"/>
      <c r="B10" s="55" t="s">
        <v>14</v>
      </c>
      <c r="C10" s="38">
        <f>SUM(C7:C9)</f>
        <v>108</v>
      </c>
      <c r="D10" s="38">
        <f t="shared" ref="D10:L10" si="0">SUM(D7:D9)</f>
        <v>1</v>
      </c>
      <c r="E10" s="38">
        <f t="shared" si="0"/>
        <v>175</v>
      </c>
      <c r="F10" s="38">
        <f t="shared" si="0"/>
        <v>808</v>
      </c>
      <c r="G10" s="38">
        <f t="shared" si="0"/>
        <v>158</v>
      </c>
      <c r="H10" s="38">
        <f t="shared" si="0"/>
        <v>0</v>
      </c>
      <c r="I10" s="38">
        <f t="shared" si="0"/>
        <v>2</v>
      </c>
      <c r="J10" s="38">
        <f t="shared" si="0"/>
        <v>326</v>
      </c>
      <c r="K10" s="38">
        <f t="shared" si="0"/>
        <v>117</v>
      </c>
      <c r="L10" s="38">
        <f t="shared" si="0"/>
        <v>9</v>
      </c>
      <c r="M10" s="39">
        <f>SUM(M7:M9)</f>
        <v>1704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3291</v>
      </c>
      <c r="D12" s="123">
        <v>76</v>
      </c>
      <c r="E12" s="122">
        <v>14216</v>
      </c>
      <c r="F12" s="123">
        <v>11773</v>
      </c>
      <c r="G12" s="123">
        <v>9222</v>
      </c>
      <c r="H12" s="123">
        <v>102</v>
      </c>
      <c r="I12" s="123">
        <v>58</v>
      </c>
      <c r="J12" s="123">
        <v>11182</v>
      </c>
      <c r="K12" s="123">
        <v>1843</v>
      </c>
      <c r="L12" s="123"/>
      <c r="M12" s="124">
        <f>SUM(C12:K12)</f>
        <v>51763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85</v>
      </c>
      <c r="D19" s="29">
        <v>1</v>
      </c>
      <c r="E19" s="29">
        <v>126</v>
      </c>
      <c r="F19" s="4">
        <v>229</v>
      </c>
      <c r="G19" s="4">
        <v>85</v>
      </c>
      <c r="H19" s="4">
        <v>1</v>
      </c>
      <c r="I19" s="4">
        <v>5</v>
      </c>
      <c r="J19" s="4">
        <v>71</v>
      </c>
      <c r="K19" s="4">
        <v>45</v>
      </c>
      <c r="L19" s="36">
        <f>SUM(C19:K19)</f>
        <v>648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1</v>
      </c>
      <c r="D21" s="4">
        <v>1</v>
      </c>
      <c r="E21" s="4">
        <v>17</v>
      </c>
      <c r="F21" s="4">
        <v>16</v>
      </c>
      <c r="G21" s="4">
        <v>19</v>
      </c>
      <c r="H21" s="4">
        <v>1</v>
      </c>
      <c r="I21" s="4">
        <v>0</v>
      </c>
      <c r="J21" s="4">
        <v>29</v>
      </c>
      <c r="K21" s="4">
        <v>0</v>
      </c>
      <c r="L21" s="51">
        <f>SUM(C21:K21)</f>
        <v>84</v>
      </c>
    </row>
    <row r="22" spans="1:13" x14ac:dyDescent="0.2">
      <c r="A22" s="31"/>
      <c r="B22" s="29" t="s">
        <v>10</v>
      </c>
      <c r="C22" s="4">
        <v>6</v>
      </c>
      <c r="D22" s="4">
        <v>4</v>
      </c>
      <c r="E22" s="4">
        <v>16</v>
      </c>
      <c r="F22" s="4">
        <v>57</v>
      </c>
      <c r="G22" s="4">
        <v>20</v>
      </c>
      <c r="H22" s="4">
        <v>2</v>
      </c>
      <c r="I22" s="4">
        <v>2</v>
      </c>
      <c r="J22" s="4">
        <v>24</v>
      </c>
      <c r="K22" s="4">
        <v>6</v>
      </c>
      <c r="L22" s="51">
        <f>SUM(C22:K22)</f>
        <v>137</v>
      </c>
    </row>
    <row r="23" spans="1:13" ht="13.5" thickBot="1" x14ac:dyDescent="0.25">
      <c r="A23" s="31"/>
      <c r="B23" s="29" t="s">
        <v>9</v>
      </c>
      <c r="C23" s="3">
        <v>140</v>
      </c>
      <c r="D23" s="3">
        <v>98</v>
      </c>
      <c r="E23" s="3">
        <v>315</v>
      </c>
      <c r="F23" s="3">
        <v>341</v>
      </c>
      <c r="G23" s="3">
        <v>184</v>
      </c>
      <c r="H23" s="3">
        <v>12</v>
      </c>
      <c r="I23" s="3">
        <v>13</v>
      </c>
      <c r="J23" s="3">
        <v>619</v>
      </c>
      <c r="K23" s="3">
        <v>175</v>
      </c>
      <c r="L23" s="49">
        <f>SUM(C23:K23)</f>
        <v>1897</v>
      </c>
    </row>
    <row r="24" spans="1:13" ht="13.5" thickTop="1" x14ac:dyDescent="0.2">
      <c r="A24" s="31"/>
      <c r="B24" s="50" t="s">
        <v>14</v>
      </c>
      <c r="C24" s="29">
        <f t="shared" ref="C24:L24" si="1">SUM(C19:C23)</f>
        <v>233</v>
      </c>
      <c r="D24" s="29">
        <f t="shared" si="1"/>
        <v>104</v>
      </c>
      <c r="E24" s="29">
        <f t="shared" si="1"/>
        <v>475</v>
      </c>
      <c r="F24" s="29">
        <f t="shared" si="1"/>
        <v>643</v>
      </c>
      <c r="G24" s="29">
        <f t="shared" si="1"/>
        <v>309</v>
      </c>
      <c r="H24" s="29">
        <f t="shared" si="1"/>
        <v>16</v>
      </c>
      <c r="I24" s="29">
        <f t="shared" si="1"/>
        <v>20</v>
      </c>
      <c r="J24" s="29">
        <f t="shared" si="1"/>
        <v>743</v>
      </c>
      <c r="K24" s="29">
        <f t="shared" si="1"/>
        <v>231</v>
      </c>
      <c r="L24" s="36">
        <f t="shared" si="1"/>
        <v>2774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424</v>
      </c>
      <c r="M26" s="156" t="s">
        <v>14</v>
      </c>
    </row>
    <row r="27" spans="1:13" x14ac:dyDescent="0.2">
      <c r="A27" s="132" t="s">
        <v>34</v>
      </c>
      <c r="B27" s="139"/>
      <c r="C27" s="73">
        <v>73</v>
      </c>
      <c r="D27" s="73">
        <v>0</v>
      </c>
      <c r="E27" s="73">
        <v>38.5</v>
      </c>
      <c r="F27" s="73">
        <v>18.75</v>
      </c>
      <c r="G27" s="73">
        <v>14</v>
      </c>
      <c r="H27" s="73">
        <v>0</v>
      </c>
      <c r="I27" s="73">
        <v>0</v>
      </c>
      <c r="J27" s="73">
        <v>8</v>
      </c>
      <c r="K27" s="73">
        <v>15.5</v>
      </c>
      <c r="L27" s="73">
        <v>11</v>
      </c>
      <c r="M27" s="118">
        <f>SUM(C27:L27)</f>
        <v>178.75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44</v>
      </c>
      <c r="D31" s="29">
        <v>11</v>
      </c>
      <c r="E31" s="29">
        <v>77</v>
      </c>
      <c r="F31" s="4">
        <v>195</v>
      </c>
      <c r="G31" s="4">
        <v>209</v>
      </c>
      <c r="H31" s="4">
        <v>191</v>
      </c>
      <c r="I31" s="4">
        <v>18</v>
      </c>
      <c r="J31" s="4">
        <v>197</v>
      </c>
      <c r="K31" s="4">
        <v>71</v>
      </c>
      <c r="L31" s="51">
        <f t="shared" ref="L31:L36" si="2">SUM(C31:K31)</f>
        <v>1013</v>
      </c>
    </row>
    <row r="32" spans="1:13" x14ac:dyDescent="0.2">
      <c r="B32" s="60" t="s">
        <v>18</v>
      </c>
      <c r="C32" s="29">
        <v>18</v>
      </c>
      <c r="D32" s="29">
        <v>8</v>
      </c>
      <c r="E32" s="29">
        <v>65</v>
      </c>
      <c r="F32" s="4">
        <v>66</v>
      </c>
      <c r="G32" s="4">
        <v>25</v>
      </c>
      <c r="H32" s="4">
        <v>14</v>
      </c>
      <c r="I32" s="4">
        <v>12</v>
      </c>
      <c r="J32" s="4">
        <v>34</v>
      </c>
      <c r="K32" s="4">
        <v>21</v>
      </c>
      <c r="L32" s="51">
        <f t="shared" si="2"/>
        <v>263</v>
      </c>
    </row>
    <row r="33" spans="1:12" x14ac:dyDescent="0.2">
      <c r="B33" s="60" t="s">
        <v>20</v>
      </c>
      <c r="C33" s="29">
        <v>211</v>
      </c>
      <c r="D33" s="29">
        <v>239</v>
      </c>
      <c r="E33" s="29">
        <v>364</v>
      </c>
      <c r="F33" s="29">
        <v>296</v>
      </c>
      <c r="G33" s="4">
        <v>282</v>
      </c>
      <c r="H33" s="4">
        <v>20</v>
      </c>
      <c r="I33" s="4">
        <v>45</v>
      </c>
      <c r="J33" s="4">
        <v>275</v>
      </c>
      <c r="K33" s="29">
        <v>86</v>
      </c>
      <c r="L33" s="51">
        <f t="shared" si="2"/>
        <v>1818</v>
      </c>
    </row>
    <row r="34" spans="1:12" x14ac:dyDescent="0.2">
      <c r="B34" s="60" t="s">
        <v>108</v>
      </c>
      <c r="C34" s="4">
        <f>26+50</f>
        <v>76</v>
      </c>
      <c r="D34" s="4">
        <f>12+79</f>
        <v>91</v>
      </c>
      <c r="E34" s="4">
        <f>11+41</f>
        <v>52</v>
      </c>
      <c r="F34" s="4">
        <f>27+45</f>
        <v>72</v>
      </c>
      <c r="G34" s="4">
        <f>20+32</f>
        <v>52</v>
      </c>
      <c r="H34" s="4">
        <f>12+25</f>
        <v>37</v>
      </c>
      <c r="I34" s="4">
        <v>6</v>
      </c>
      <c r="J34">
        <f>20+58</f>
        <v>78</v>
      </c>
      <c r="K34" s="4">
        <f>10+30</f>
        <v>40</v>
      </c>
      <c r="L34" s="51">
        <f t="shared" si="2"/>
        <v>504</v>
      </c>
    </row>
    <row r="35" spans="1:12" ht="13.5" thickBot="1" x14ac:dyDescent="0.25">
      <c r="B35" s="119" t="s">
        <v>19</v>
      </c>
      <c r="C35" s="3">
        <f t="shared" ref="C35:F35" si="3">SUM(C76)</f>
        <v>26</v>
      </c>
      <c r="D35" s="3">
        <f t="shared" si="3"/>
        <v>16</v>
      </c>
      <c r="E35" s="3">
        <f t="shared" si="3"/>
        <v>42</v>
      </c>
      <c r="F35" s="3">
        <f t="shared" si="3"/>
        <v>71</v>
      </c>
      <c r="G35" s="3">
        <f>SUM(G76)</f>
        <v>30</v>
      </c>
      <c r="H35" s="3">
        <f t="shared" ref="H35:K35" si="4">SUM(H76)</f>
        <v>10</v>
      </c>
      <c r="I35" s="3">
        <f t="shared" si="4"/>
        <v>1</v>
      </c>
      <c r="J35" s="3">
        <f t="shared" si="4"/>
        <v>75</v>
      </c>
      <c r="K35" s="3">
        <f t="shared" si="4"/>
        <v>17</v>
      </c>
      <c r="L35" s="117">
        <f t="shared" si="2"/>
        <v>288</v>
      </c>
    </row>
    <row r="36" spans="1:12" ht="13.5" thickTop="1" x14ac:dyDescent="0.2">
      <c r="B36" s="58" t="s">
        <v>14</v>
      </c>
      <c r="C36" s="38">
        <f t="shared" ref="C36:K36" si="5">SUM(C31:C35)</f>
        <v>375</v>
      </c>
      <c r="D36" s="38">
        <f t="shared" si="5"/>
        <v>365</v>
      </c>
      <c r="E36" s="38">
        <f t="shared" si="5"/>
        <v>600</v>
      </c>
      <c r="F36" s="38">
        <f t="shared" si="5"/>
        <v>700</v>
      </c>
      <c r="G36" s="38">
        <f t="shared" si="5"/>
        <v>598</v>
      </c>
      <c r="H36" s="38">
        <f t="shared" si="5"/>
        <v>272</v>
      </c>
      <c r="I36" s="38">
        <f t="shared" si="5"/>
        <v>82</v>
      </c>
      <c r="J36" s="38">
        <f t="shared" si="5"/>
        <v>659</v>
      </c>
      <c r="K36" s="38">
        <f t="shared" si="5"/>
        <v>235</v>
      </c>
      <c r="L36" s="80">
        <f t="shared" si="2"/>
        <v>3886</v>
      </c>
    </row>
    <row r="38" spans="1:12" x14ac:dyDescent="0.2">
      <c r="A38" s="137" t="s">
        <v>56</v>
      </c>
      <c r="B38" s="138"/>
      <c r="C38" s="33">
        <v>2</v>
      </c>
      <c r="D38" s="33">
        <v>0</v>
      </c>
      <c r="E38" s="33">
        <v>9</v>
      </c>
      <c r="F38" s="56">
        <v>11</v>
      </c>
      <c r="G38" s="56">
        <v>7</v>
      </c>
      <c r="H38" s="56">
        <v>0</v>
      </c>
      <c r="I38" s="56">
        <v>0</v>
      </c>
      <c r="J38" s="56">
        <v>13</v>
      </c>
      <c r="K38" s="56">
        <v>1</v>
      </c>
      <c r="L38" s="120">
        <f>SUM(C38:K38)</f>
        <v>43</v>
      </c>
    </row>
    <row r="39" spans="1:12" ht="13.5" thickBot="1" x14ac:dyDescent="0.25">
      <c r="A39" s="60" t="s">
        <v>148</v>
      </c>
      <c r="B39" s="50"/>
      <c r="C39" s="3">
        <v>0</v>
      </c>
      <c r="D39" s="3">
        <v>0</v>
      </c>
      <c r="E39" s="3">
        <v>0</v>
      </c>
      <c r="F39" s="3">
        <v>16</v>
      </c>
      <c r="G39" s="3">
        <v>0</v>
      </c>
      <c r="H39" s="3">
        <v>0</v>
      </c>
      <c r="I39" s="3">
        <v>0</v>
      </c>
      <c r="J39" s="3">
        <v>6</v>
      </c>
      <c r="K39" s="3">
        <v>0</v>
      </c>
      <c r="L39" s="117">
        <f>SUM(C39:K39)</f>
        <v>22</v>
      </c>
    </row>
    <row r="40" spans="1:12" ht="13.5" thickTop="1" x14ac:dyDescent="0.2">
      <c r="A40" s="60"/>
      <c r="B40" s="50" t="s">
        <v>7</v>
      </c>
      <c r="C40" s="29">
        <f t="shared" ref="C40:L40" si="6">SUM(C38:C39)</f>
        <v>2</v>
      </c>
      <c r="D40" s="29">
        <f t="shared" si="6"/>
        <v>0</v>
      </c>
      <c r="E40" s="29">
        <f t="shared" si="6"/>
        <v>9</v>
      </c>
      <c r="F40" s="29">
        <f t="shared" si="6"/>
        <v>27</v>
      </c>
      <c r="G40" s="29">
        <f t="shared" si="6"/>
        <v>7</v>
      </c>
      <c r="H40" s="179">
        <f t="shared" si="6"/>
        <v>0</v>
      </c>
      <c r="I40" s="29">
        <f t="shared" si="6"/>
        <v>0</v>
      </c>
      <c r="J40" s="29">
        <f t="shared" si="6"/>
        <v>19</v>
      </c>
      <c r="K40" s="29">
        <f t="shared" si="6"/>
        <v>1</v>
      </c>
      <c r="L40" s="121">
        <f t="shared" si="6"/>
        <v>65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0</v>
      </c>
      <c r="F42" s="123">
        <v>0</v>
      </c>
      <c r="G42" s="123">
        <v>0</v>
      </c>
      <c r="H42" s="123">
        <v>0</v>
      </c>
      <c r="I42" s="123">
        <v>0</v>
      </c>
      <c r="J42" s="123">
        <v>0</v>
      </c>
      <c r="K42" s="123">
        <v>1</v>
      </c>
      <c r="L42" s="124">
        <f>SUM(C42:K42)</f>
        <v>1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3</v>
      </c>
      <c r="K44" s="33">
        <v>0</v>
      </c>
      <c r="L44" s="34">
        <f>SUM(C44:K44)</f>
        <v>3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51</v>
      </c>
      <c r="K45" s="38">
        <v>0</v>
      </c>
      <c r="L45" s="39">
        <f>SUM(C45:K45)</f>
        <v>51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/>
      <c r="D49" s="122">
        <v>1</v>
      </c>
      <c r="E49" s="122">
        <v>7</v>
      </c>
      <c r="F49" s="129">
        <v>7</v>
      </c>
      <c r="G49" s="129">
        <v>1</v>
      </c>
      <c r="H49" s="129">
        <v>3</v>
      </c>
      <c r="I49" s="129"/>
      <c r="J49" s="129">
        <v>7</v>
      </c>
      <c r="K49" s="129">
        <v>3</v>
      </c>
      <c r="L49" s="130">
        <f t="shared" ref="L49:L75" si="7">SUM(C49:K49)</f>
        <v>29</v>
      </c>
    </row>
    <row r="50" spans="2:12" x14ac:dyDescent="0.2">
      <c r="B50" s="100" t="s">
        <v>113</v>
      </c>
      <c r="C50" s="122"/>
      <c r="D50" s="122"/>
      <c r="E50" s="129"/>
      <c r="F50" s="122"/>
      <c r="G50" s="122"/>
      <c r="H50" s="122"/>
      <c r="I50" s="122"/>
      <c r="J50" s="122"/>
      <c r="K50" s="122"/>
      <c r="L50" s="130">
        <f t="shared" si="7"/>
        <v>0</v>
      </c>
    </row>
    <row r="51" spans="2:12" x14ac:dyDescent="0.2">
      <c r="B51" s="100" t="s">
        <v>103</v>
      </c>
      <c r="C51" s="122">
        <v>4</v>
      </c>
      <c r="D51" s="122">
        <v>1</v>
      </c>
      <c r="E51" s="122">
        <v>2</v>
      </c>
      <c r="F51" s="122">
        <v>12</v>
      </c>
      <c r="G51" s="129">
        <v>3</v>
      </c>
      <c r="H51" s="129">
        <v>2</v>
      </c>
      <c r="I51" s="122"/>
      <c r="J51" s="122"/>
      <c r="K51" s="129"/>
      <c r="L51" s="130">
        <f t="shared" si="7"/>
        <v>24</v>
      </c>
    </row>
    <row r="52" spans="2:12" x14ac:dyDescent="0.2">
      <c r="B52" s="100" t="s">
        <v>137</v>
      </c>
      <c r="C52" s="122"/>
      <c r="D52" s="122"/>
      <c r="E52" s="122"/>
      <c r="F52" s="122"/>
      <c r="G52" s="129"/>
      <c r="H52" s="122"/>
      <c r="I52" s="122"/>
      <c r="J52" s="122"/>
      <c r="K52" s="129"/>
      <c r="L52" s="130">
        <f t="shared" si="7"/>
        <v>0</v>
      </c>
    </row>
    <row r="53" spans="2:12" x14ac:dyDescent="0.2">
      <c r="B53" s="100" t="s">
        <v>149</v>
      </c>
      <c r="C53" s="129"/>
      <c r="D53" s="122">
        <v>3</v>
      </c>
      <c r="E53" s="122">
        <v>4</v>
      </c>
      <c r="F53" s="122">
        <v>2</v>
      </c>
      <c r="G53" s="129"/>
      <c r="H53" s="122"/>
      <c r="I53" s="122"/>
      <c r="J53" s="122">
        <v>1</v>
      </c>
      <c r="K53" s="129">
        <v>1</v>
      </c>
      <c r="L53" s="130">
        <f t="shared" si="7"/>
        <v>11</v>
      </c>
    </row>
    <row r="54" spans="2:12" x14ac:dyDescent="0.2">
      <c r="B54" s="100" t="s">
        <v>104</v>
      </c>
      <c r="C54" s="129">
        <v>2</v>
      </c>
      <c r="D54" s="122"/>
      <c r="E54" s="129"/>
      <c r="F54" s="129">
        <v>7</v>
      </c>
      <c r="G54" s="129">
        <v>2</v>
      </c>
      <c r="H54" s="122">
        <v>1</v>
      </c>
      <c r="I54" s="122"/>
      <c r="J54" s="122">
        <v>8</v>
      </c>
      <c r="K54" s="122"/>
      <c r="L54" s="130">
        <f t="shared" si="7"/>
        <v>20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 t="shared" si="7"/>
        <v>0</v>
      </c>
    </row>
    <row r="56" spans="2:12" x14ac:dyDescent="0.2">
      <c r="B56" s="100" t="s">
        <v>88</v>
      </c>
      <c r="C56" s="122"/>
      <c r="D56" s="122"/>
      <c r="E56" s="129"/>
      <c r="F56" s="129"/>
      <c r="G56" s="129"/>
      <c r="H56" s="129"/>
      <c r="I56" s="129"/>
      <c r="J56" s="129"/>
      <c r="K56" s="129"/>
      <c r="L56" s="130">
        <f t="shared" si="7"/>
        <v>0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7"/>
        <v>0</v>
      </c>
    </row>
    <row r="58" spans="2:12" x14ac:dyDescent="0.2">
      <c r="B58" s="100" t="s">
        <v>102</v>
      </c>
      <c r="C58" s="122"/>
      <c r="D58" s="122"/>
      <c r="E58" s="129"/>
      <c r="F58" s="129"/>
      <c r="G58" s="129"/>
      <c r="H58" s="129"/>
      <c r="I58" s="122"/>
      <c r="J58" s="122"/>
      <c r="K58" s="129"/>
      <c r="L58" s="130">
        <f t="shared" si="7"/>
        <v>0</v>
      </c>
    </row>
    <row r="59" spans="2:12" x14ac:dyDescent="0.2">
      <c r="B59" s="100" t="s">
        <v>105</v>
      </c>
      <c r="C59" s="122"/>
      <c r="D59" s="122"/>
      <c r="E59" s="129"/>
      <c r="F59" s="129"/>
      <c r="G59" s="129"/>
      <c r="H59" s="129"/>
      <c r="I59" s="122"/>
      <c r="J59" s="122"/>
      <c r="K59" s="129"/>
      <c r="L59" s="130">
        <f t="shared" si="7"/>
        <v>0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7"/>
        <v>0</v>
      </c>
    </row>
    <row r="61" spans="2:12" x14ac:dyDescent="0.2">
      <c r="B61" s="111" t="s">
        <v>41</v>
      </c>
      <c r="C61" s="122">
        <v>2</v>
      </c>
      <c r="D61" s="122">
        <v>5</v>
      </c>
      <c r="E61" s="129"/>
      <c r="F61" s="129">
        <v>3</v>
      </c>
      <c r="G61" s="129">
        <v>5</v>
      </c>
      <c r="H61" s="129"/>
      <c r="I61" s="129"/>
      <c r="J61" s="129">
        <v>9</v>
      </c>
      <c r="K61" s="129">
        <v>1</v>
      </c>
      <c r="L61" s="130">
        <f t="shared" si="7"/>
        <v>25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7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7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/>
      <c r="H64" s="129"/>
      <c r="I64" s="129"/>
      <c r="J64" s="129"/>
      <c r="K64" s="129"/>
      <c r="L64" s="130">
        <f t="shared" si="7"/>
        <v>0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/>
      <c r="I65" s="129"/>
      <c r="J65" s="129"/>
      <c r="K65" s="129"/>
      <c r="L65" s="130">
        <f t="shared" si="7"/>
        <v>0</v>
      </c>
    </row>
    <row r="66" spans="1:13" x14ac:dyDescent="0.2">
      <c r="B66" s="111" t="s">
        <v>80</v>
      </c>
      <c r="C66" s="129">
        <v>17</v>
      </c>
      <c r="D66" s="129">
        <v>5</v>
      </c>
      <c r="E66" s="129">
        <v>18</v>
      </c>
      <c r="F66" s="129">
        <v>25</v>
      </c>
      <c r="G66" s="129">
        <v>16</v>
      </c>
      <c r="H66" s="129">
        <v>3</v>
      </c>
      <c r="I66" s="129">
        <v>1</v>
      </c>
      <c r="J66" s="129">
        <v>34</v>
      </c>
      <c r="K66" s="129">
        <v>10</v>
      </c>
      <c r="L66" s="130">
        <f t="shared" si="7"/>
        <v>129</v>
      </c>
    </row>
    <row r="67" spans="1:13" x14ac:dyDescent="0.2">
      <c r="B67" s="100" t="s">
        <v>151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30">
        <f t="shared" si="7"/>
        <v>0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7"/>
        <v>0</v>
      </c>
    </row>
    <row r="69" spans="1:13" x14ac:dyDescent="0.2">
      <c r="B69" s="100" t="s">
        <v>89</v>
      </c>
      <c r="C69" s="129"/>
      <c r="D69" s="122"/>
      <c r="E69" s="129">
        <v>2</v>
      </c>
      <c r="F69" s="129"/>
      <c r="G69" s="129"/>
      <c r="H69" s="129"/>
      <c r="I69" s="129"/>
      <c r="J69" s="129">
        <v>1</v>
      </c>
      <c r="K69" s="129"/>
      <c r="L69" s="130">
        <f t="shared" si="7"/>
        <v>3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7"/>
        <v>0</v>
      </c>
    </row>
    <row r="71" spans="1:13" x14ac:dyDescent="0.2">
      <c r="B71" s="100" t="s">
        <v>43</v>
      </c>
      <c r="C71" s="129"/>
      <c r="D71" s="122"/>
      <c r="E71" s="129"/>
      <c r="F71" s="129"/>
      <c r="G71" s="129"/>
      <c r="H71" s="129"/>
      <c r="I71" s="129"/>
      <c r="J71" s="129"/>
      <c r="K71" s="129"/>
      <c r="L71" s="130">
        <f t="shared" si="7"/>
        <v>0</v>
      </c>
    </row>
    <row r="72" spans="1:13" x14ac:dyDescent="0.2">
      <c r="B72" s="100" t="s">
        <v>42</v>
      </c>
      <c r="C72" s="122"/>
      <c r="D72" s="122">
        <v>1</v>
      </c>
      <c r="E72" s="122">
        <v>8</v>
      </c>
      <c r="F72" s="129">
        <v>10</v>
      </c>
      <c r="G72" s="122"/>
      <c r="H72" s="129">
        <v>1</v>
      </c>
      <c r="I72" s="129"/>
      <c r="J72" s="129">
        <v>9</v>
      </c>
      <c r="K72" s="129">
        <v>1</v>
      </c>
      <c r="L72" s="130">
        <f t="shared" si="7"/>
        <v>30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7"/>
        <v>0</v>
      </c>
    </row>
    <row r="74" spans="1:13" x14ac:dyDescent="0.2">
      <c r="B74" s="111" t="s">
        <v>72</v>
      </c>
      <c r="C74" s="122">
        <v>1</v>
      </c>
      <c r="D74" s="122"/>
      <c r="E74" s="122">
        <v>1</v>
      </c>
      <c r="F74" s="129">
        <v>5</v>
      </c>
      <c r="G74" s="122">
        <v>1</v>
      </c>
      <c r="H74" s="129"/>
      <c r="I74" s="122"/>
      <c r="J74" s="122">
        <v>1</v>
      </c>
      <c r="K74" s="129">
        <v>1</v>
      </c>
      <c r="L74" s="130">
        <f t="shared" si="7"/>
        <v>10</v>
      </c>
    </row>
    <row r="75" spans="1:13" ht="13.5" thickBot="1" x14ac:dyDescent="0.25">
      <c r="B75" s="66" t="s">
        <v>66</v>
      </c>
      <c r="C75" s="3"/>
      <c r="D75" s="3"/>
      <c r="E75" s="3"/>
      <c r="F75" s="3"/>
      <c r="G75" s="3">
        <v>2</v>
      </c>
      <c r="H75" s="3"/>
      <c r="I75" s="3"/>
      <c r="J75" s="3">
        <v>5</v>
      </c>
      <c r="K75" s="3"/>
      <c r="L75" s="176">
        <f t="shared" si="7"/>
        <v>7</v>
      </c>
    </row>
    <row r="76" spans="1:13" ht="13.5" thickTop="1" x14ac:dyDescent="0.2">
      <c r="B76" s="58" t="s">
        <v>7</v>
      </c>
      <c r="C76" s="38">
        <f t="shared" ref="C76:L76" si="8">SUM(C49:C75)</f>
        <v>26</v>
      </c>
      <c r="D76" s="38">
        <f t="shared" si="8"/>
        <v>16</v>
      </c>
      <c r="E76" s="38">
        <f t="shared" si="8"/>
        <v>42</v>
      </c>
      <c r="F76" s="38">
        <f t="shared" si="8"/>
        <v>71</v>
      </c>
      <c r="G76" s="38">
        <f t="shared" si="8"/>
        <v>30</v>
      </c>
      <c r="H76" s="38">
        <f t="shared" si="8"/>
        <v>10</v>
      </c>
      <c r="I76" s="38">
        <f t="shared" si="8"/>
        <v>1</v>
      </c>
      <c r="J76" s="38">
        <f t="shared" si="8"/>
        <v>75</v>
      </c>
      <c r="K76" s="38">
        <f t="shared" si="8"/>
        <v>17</v>
      </c>
      <c r="L76" s="38">
        <f t="shared" si="8"/>
        <v>288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46390</v>
      </c>
      <c r="C82" s="29">
        <f>78+42+23</f>
        <v>143</v>
      </c>
      <c r="D82" s="29">
        <v>1350</v>
      </c>
      <c r="E82" s="4">
        <f>4+43+14+8+78+24+30+67+30+1</f>
        <v>299</v>
      </c>
      <c r="F82" s="4">
        <f>49+3+18+4+1+5+4+5+2+33+16+11+4+66+3+4+3+10+2+6+19+14+4+8+1+15+2+21+7+1+6+3+12+8+9+3+24+5+2+2+3+2+9</f>
        <v>429</v>
      </c>
      <c r="G82" s="29">
        <v>280</v>
      </c>
      <c r="H82" s="4">
        <f>21+175+3054</f>
        <v>3250</v>
      </c>
      <c r="I82" s="4">
        <v>18</v>
      </c>
      <c r="J82" s="29">
        <v>17</v>
      </c>
      <c r="K82" s="4">
        <v>6</v>
      </c>
      <c r="L82" s="29">
        <f>2024+4466+172</f>
        <v>6662</v>
      </c>
      <c r="M82" s="36">
        <f>SUM(B82:L82)</f>
        <v>58844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482</v>
      </c>
      <c r="L84" s="29"/>
    </row>
    <row r="85" spans="1:13" x14ac:dyDescent="0.2">
      <c r="A85" s="29"/>
      <c r="B85" s="29"/>
      <c r="C85" s="29"/>
      <c r="D85" s="29"/>
      <c r="E85" s="29"/>
      <c r="F85" s="29"/>
      <c r="G85" s="47"/>
      <c r="H85" s="29"/>
      <c r="J85" s="29"/>
      <c r="K85" s="29" t="s">
        <v>214</v>
      </c>
      <c r="L85" s="29"/>
    </row>
    <row r="86" spans="1:13" x14ac:dyDescent="0.2">
      <c r="A86" s="137" t="s">
        <v>86</v>
      </c>
      <c r="B86" s="138"/>
      <c r="C86" s="64">
        <v>115</v>
      </c>
      <c r="F86" s="137" t="s">
        <v>48</v>
      </c>
      <c r="G86" s="138"/>
      <c r="H86" s="64">
        <v>7</v>
      </c>
      <c r="J86" s="137" t="s">
        <v>73</v>
      </c>
      <c r="K86" s="142"/>
      <c r="L86" s="142"/>
      <c r="M86" s="34">
        <v>0</v>
      </c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7</v>
      </c>
      <c r="J87" s="140" t="s">
        <v>74</v>
      </c>
      <c r="K87" s="152"/>
      <c r="L87" s="152"/>
      <c r="M87" s="39">
        <v>5</v>
      </c>
    </row>
    <row r="88" spans="1:13" x14ac:dyDescent="0.2">
      <c r="A88" s="140" t="s">
        <v>87</v>
      </c>
      <c r="B88" s="152"/>
      <c r="C88" s="39">
        <v>89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v>8</v>
      </c>
      <c r="D91" s="6"/>
      <c r="E91" s="31" t="s">
        <v>9</v>
      </c>
      <c r="F91" s="29"/>
      <c r="G91" s="36">
        <f>509+46</f>
        <v>555</v>
      </c>
      <c r="I91" s="35" t="s">
        <v>127</v>
      </c>
      <c r="J91" s="29"/>
      <c r="K91" s="29"/>
      <c r="L91" s="36">
        <v>585</v>
      </c>
      <c r="M91" s="6"/>
    </row>
    <row r="92" spans="1:13" x14ac:dyDescent="0.2">
      <c r="A92" s="35" t="s">
        <v>28</v>
      </c>
      <c r="B92" s="29"/>
      <c r="C92" s="36">
        <v>0</v>
      </c>
      <c r="D92" s="6"/>
      <c r="E92" s="31" t="s">
        <v>10</v>
      </c>
      <c r="F92" s="29"/>
      <c r="G92" s="36">
        <f>162+50</f>
        <v>212</v>
      </c>
      <c r="I92" s="35" t="s">
        <v>128</v>
      </c>
      <c r="J92" s="29"/>
      <c r="K92" s="29"/>
      <c r="L92" s="36">
        <v>88</v>
      </c>
      <c r="M92" s="6"/>
    </row>
    <row r="93" spans="1:13" x14ac:dyDescent="0.2">
      <c r="A93" s="35" t="s">
        <v>118</v>
      </c>
      <c r="B93" s="29"/>
      <c r="C93" s="36">
        <v>87</v>
      </c>
      <c r="D93" s="6"/>
      <c r="E93" s="31" t="s">
        <v>11</v>
      </c>
      <c r="F93" s="29"/>
      <c r="G93" s="36">
        <v>14</v>
      </c>
      <c r="I93" s="35" t="s">
        <v>45</v>
      </c>
      <c r="J93" s="29"/>
      <c r="K93" s="29"/>
      <c r="L93" s="36">
        <v>20</v>
      </c>
      <c r="M93" s="6"/>
    </row>
    <row r="94" spans="1:13" x14ac:dyDescent="0.2">
      <c r="A94" s="35" t="s">
        <v>119</v>
      </c>
      <c r="B94" s="47"/>
      <c r="C94" s="36">
        <f>752+33+8</f>
        <v>793</v>
      </c>
      <c r="D94" s="6"/>
      <c r="E94" s="31" t="s">
        <v>37</v>
      </c>
      <c r="F94" s="29"/>
      <c r="G94" s="36">
        <f>387+17</f>
        <v>404</v>
      </c>
      <c r="I94" s="35" t="s">
        <v>46</v>
      </c>
      <c r="J94" s="29"/>
      <c r="K94" s="29"/>
      <c r="L94" s="36">
        <v>12</v>
      </c>
      <c r="M94" s="6"/>
    </row>
    <row r="95" spans="1:13" x14ac:dyDescent="0.2">
      <c r="A95" s="35" t="s">
        <v>101</v>
      </c>
      <c r="B95" s="47"/>
      <c r="C95" s="36">
        <f>25+9+8+1</f>
        <v>43</v>
      </c>
      <c r="D95" s="6"/>
      <c r="E95" s="41" t="s">
        <v>38</v>
      </c>
      <c r="F95" s="38"/>
      <c r="G95" s="39">
        <v>0</v>
      </c>
      <c r="I95" s="91" t="s">
        <v>132</v>
      </c>
      <c r="J95" s="38"/>
      <c r="K95" s="38"/>
      <c r="L95" s="39">
        <v>14</v>
      </c>
      <c r="M95" s="6"/>
    </row>
    <row r="96" spans="1:13" x14ac:dyDescent="0.2">
      <c r="A96" s="35" t="s">
        <v>139</v>
      </c>
      <c r="B96" s="47"/>
      <c r="C96" s="36">
        <f>5+2+1</f>
        <v>8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f>84+11+1</f>
        <v>96</v>
      </c>
    </row>
    <row r="98" spans="1:13" x14ac:dyDescent="0.2">
      <c r="A98" s="35" t="s">
        <v>120</v>
      </c>
      <c r="B98" s="29"/>
      <c r="C98" s="36">
        <f>6+1</f>
        <v>7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74</v>
      </c>
    </row>
    <row r="100" spans="1:13" x14ac:dyDescent="0.2">
      <c r="A100" s="89" t="s">
        <v>122</v>
      </c>
      <c r="B100" s="47"/>
      <c r="C100" s="36">
        <v>1</v>
      </c>
      <c r="E100" s="35" t="s">
        <v>32</v>
      </c>
      <c r="F100" s="47"/>
      <c r="G100" s="47"/>
      <c r="H100" s="42">
        <v>48</v>
      </c>
    </row>
    <row r="101" spans="1:13" x14ac:dyDescent="0.2">
      <c r="A101" s="89" t="s">
        <v>18</v>
      </c>
      <c r="B101" s="29"/>
      <c r="C101" s="51">
        <v>3</v>
      </c>
      <c r="E101" s="37" t="s">
        <v>47</v>
      </c>
      <c r="F101" s="55"/>
      <c r="G101" s="38"/>
      <c r="H101" s="39">
        <v>0</v>
      </c>
      <c r="I101" s="2"/>
      <c r="J101" s="1"/>
    </row>
    <row r="102" spans="1:13" x14ac:dyDescent="0.2">
      <c r="A102" s="91" t="s">
        <v>20</v>
      </c>
      <c r="B102" s="38"/>
      <c r="C102" s="39">
        <f>504+71+196</f>
        <v>771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137" t="s">
        <v>391</v>
      </c>
      <c r="J103" s="138"/>
      <c r="K103" s="33" t="s">
        <v>96</v>
      </c>
      <c r="L103" s="33" t="s">
        <v>455</v>
      </c>
      <c r="M103" s="34"/>
    </row>
    <row r="104" spans="1:13" x14ac:dyDescent="0.2">
      <c r="A104" s="79"/>
      <c r="B104" s="29"/>
      <c r="C104" s="29"/>
      <c r="I104" s="37" t="s">
        <v>390</v>
      </c>
      <c r="J104" s="55"/>
      <c r="K104" s="38">
        <v>57</v>
      </c>
      <c r="L104" s="38">
        <v>67</v>
      </c>
      <c r="M104" s="39" t="s">
        <v>392</v>
      </c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506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0</v>
      </c>
      <c r="E108" s="111">
        <v>77</v>
      </c>
      <c r="F108" s="31"/>
      <c r="H108" s="1"/>
      <c r="I108" s="60" t="s">
        <v>133</v>
      </c>
      <c r="J108" s="50"/>
      <c r="L108">
        <v>1480</v>
      </c>
      <c r="M108" s="36"/>
    </row>
    <row r="109" spans="1:13" x14ac:dyDescent="0.2">
      <c r="A109" s="1"/>
      <c r="B109" s="228" t="s">
        <v>97</v>
      </c>
      <c r="C109" s="229"/>
      <c r="D109" s="15">
        <v>445</v>
      </c>
      <c r="E109" s="157"/>
      <c r="F109" s="31"/>
      <c r="I109" s="60" t="s">
        <v>212</v>
      </c>
      <c r="K109" s="29"/>
      <c r="L109" s="29">
        <v>1392</v>
      </c>
      <c r="M109" s="36"/>
    </row>
    <row r="110" spans="1:13" x14ac:dyDescent="0.2">
      <c r="B110" s="194" t="s">
        <v>348</v>
      </c>
      <c r="C110" s="15"/>
      <c r="D110" s="15">
        <v>122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19</v>
      </c>
      <c r="E111" s="112"/>
      <c r="F111" s="160"/>
      <c r="I111" s="60" t="s">
        <v>145</v>
      </c>
      <c r="J111" s="50"/>
      <c r="K111" s="50"/>
      <c r="L111" s="47">
        <v>29</v>
      </c>
      <c r="M111" s="63"/>
    </row>
    <row r="112" spans="1:13" x14ac:dyDescent="0.2">
      <c r="A112" s="1"/>
      <c r="B112" s="232" t="s">
        <v>244</v>
      </c>
      <c r="C112" s="233"/>
      <c r="D112" s="15"/>
      <c r="E112" s="112">
        <v>1</v>
      </c>
      <c r="F112" s="160" t="s">
        <v>245</v>
      </c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42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80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49</v>
      </c>
      <c r="E115" s="115"/>
      <c r="F115" s="161"/>
      <c r="I115" s="87" t="s">
        <v>111</v>
      </c>
      <c r="J115" s="33"/>
      <c r="K115" s="88">
        <v>1188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721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>
        <v>39</v>
      </c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0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1</v>
      </c>
      <c r="E120" s="114">
        <v>174</v>
      </c>
      <c r="F120" s="163"/>
      <c r="I120" s="95" t="s">
        <v>22</v>
      </c>
      <c r="J120" s="86"/>
      <c r="K120" s="29">
        <v>1</v>
      </c>
      <c r="L120" s="29">
        <v>0</v>
      </c>
      <c r="M120" s="94">
        <f>SUM(K120:L120)</f>
        <v>1</v>
      </c>
    </row>
    <row r="121" spans="1:13" x14ac:dyDescent="0.2">
      <c r="B121" s="100" t="s">
        <v>144</v>
      </c>
      <c r="D121" s="13">
        <v>50</v>
      </c>
      <c r="E121" s="111"/>
      <c r="F121" s="31"/>
      <c r="I121" s="171" t="s">
        <v>169</v>
      </c>
      <c r="J121" s="86"/>
      <c r="K121" s="29">
        <v>0</v>
      </c>
      <c r="L121" s="29">
        <v>0</v>
      </c>
      <c r="M121" s="94">
        <f>SUM(K121:L121)</f>
        <v>0</v>
      </c>
    </row>
    <row r="122" spans="1:13" x14ac:dyDescent="0.2">
      <c r="A122" s="1"/>
      <c r="B122" s="32" t="s">
        <v>159</v>
      </c>
      <c r="C122" s="13"/>
      <c r="D122" s="13">
        <v>1251</v>
      </c>
      <c r="E122" s="115"/>
      <c r="F122" s="162"/>
      <c r="I122" s="171" t="s">
        <v>170</v>
      </c>
      <c r="J122" s="86"/>
      <c r="K122" s="29">
        <v>0</v>
      </c>
      <c r="L122" s="29">
        <v>0</v>
      </c>
      <c r="M122" s="94">
        <f>SUM(K122:L122)</f>
        <v>0</v>
      </c>
    </row>
    <row r="123" spans="1:13" x14ac:dyDescent="0.2">
      <c r="A123" s="1"/>
      <c r="B123" s="101" t="s">
        <v>135</v>
      </c>
      <c r="C123" s="13"/>
      <c r="D123" s="13">
        <v>92</v>
      </c>
      <c r="E123" s="158"/>
      <c r="F123" s="162"/>
      <c r="I123" s="172" t="s">
        <v>23</v>
      </c>
      <c r="J123" s="173"/>
      <c r="K123" s="93">
        <v>22</v>
      </c>
      <c r="L123" s="93">
        <v>1</v>
      </c>
      <c r="M123" s="174">
        <f>SUM(K123:L123)</f>
        <v>23</v>
      </c>
    </row>
    <row r="124" spans="1:13" x14ac:dyDescent="0.2">
      <c r="A124" s="1"/>
      <c r="B124" s="101" t="s">
        <v>141</v>
      </c>
      <c r="C124" s="13"/>
      <c r="D124" s="13">
        <v>9</v>
      </c>
      <c r="E124" s="158"/>
      <c r="F124" s="162"/>
      <c r="I124" s="171" t="s">
        <v>146</v>
      </c>
      <c r="J124" s="86"/>
      <c r="K124" s="4">
        <v>5</v>
      </c>
      <c r="L124" s="217" t="s">
        <v>394</v>
      </c>
      <c r="M124" s="94">
        <f>SUM(K124:L124)</f>
        <v>5</v>
      </c>
    </row>
    <row r="125" spans="1:13" x14ac:dyDescent="0.2">
      <c r="A125" s="1"/>
      <c r="B125" s="101" t="s">
        <v>126</v>
      </c>
      <c r="C125" s="13"/>
      <c r="D125" s="13">
        <v>5</v>
      </c>
      <c r="E125" s="158"/>
      <c r="F125" s="162"/>
      <c r="I125" s="96" t="s">
        <v>273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>
        <v>0</v>
      </c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SUM(D107:D126)</f>
        <v>2710</v>
      </c>
      <c r="E127">
        <f>SUM(E107:E126)</f>
        <v>252</v>
      </c>
      <c r="I127" s="132" t="s">
        <v>106</v>
      </c>
      <c r="J127" s="139"/>
      <c r="K127" s="105">
        <v>5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0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v>173</v>
      </c>
      <c r="D134" s="29">
        <v>51</v>
      </c>
      <c r="E134" s="29">
        <v>556</v>
      </c>
      <c r="F134" s="4">
        <v>572</v>
      </c>
      <c r="G134" s="4">
        <v>119</v>
      </c>
      <c r="H134" s="4">
        <v>0</v>
      </c>
      <c r="I134" s="4">
        <v>34</v>
      </c>
      <c r="J134" s="4">
        <v>206</v>
      </c>
      <c r="K134" s="4">
        <v>258</v>
      </c>
      <c r="L134" s="51">
        <f>SUM(C134:K134)</f>
        <v>1969</v>
      </c>
    </row>
    <row r="135" spans="1:13" x14ac:dyDescent="0.2">
      <c r="A135" s="31"/>
      <c r="B135" s="50" t="s">
        <v>9</v>
      </c>
      <c r="C135" s="189" t="s">
        <v>394</v>
      </c>
      <c r="D135" s="189" t="s">
        <v>394</v>
      </c>
      <c r="E135" s="189" t="s">
        <v>394</v>
      </c>
      <c r="F135" s="170">
        <v>108</v>
      </c>
      <c r="G135" s="166" t="s">
        <v>394</v>
      </c>
      <c r="H135" s="166" t="s">
        <v>394</v>
      </c>
      <c r="I135" s="166" t="s">
        <v>394</v>
      </c>
      <c r="J135" s="170">
        <v>109</v>
      </c>
      <c r="K135" s="166" t="s">
        <v>394</v>
      </c>
      <c r="L135" s="51">
        <f>SUM(C135:K135)</f>
        <v>217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0</v>
      </c>
      <c r="E136" s="155">
        <v>0</v>
      </c>
      <c r="F136" s="155">
        <v>4</v>
      </c>
      <c r="G136" s="155">
        <v>0</v>
      </c>
      <c r="H136" s="155">
        <v>0</v>
      </c>
      <c r="I136" s="168" t="s">
        <v>394</v>
      </c>
      <c r="J136" s="155">
        <v>0</v>
      </c>
      <c r="K136" s="155">
        <v>0</v>
      </c>
      <c r="L136" s="131">
        <f>SUM(C136:K136)</f>
        <v>4</v>
      </c>
    </row>
    <row r="137" spans="1:13" ht="13.5" thickTop="1" x14ac:dyDescent="0.2">
      <c r="A137" s="31"/>
      <c r="B137" s="50" t="s">
        <v>14</v>
      </c>
      <c r="C137" s="29">
        <f>SUM(C134:C136)</f>
        <v>173</v>
      </c>
      <c r="D137" s="29">
        <f>SUM(D134:D136)</f>
        <v>51</v>
      </c>
      <c r="E137" s="29">
        <f t="shared" ref="E137:L137" si="9">SUM(E134:E136)</f>
        <v>556</v>
      </c>
      <c r="F137" s="29">
        <f t="shared" si="9"/>
        <v>684</v>
      </c>
      <c r="G137" s="29">
        <f t="shared" si="9"/>
        <v>119</v>
      </c>
      <c r="H137" s="29">
        <f t="shared" si="9"/>
        <v>0</v>
      </c>
      <c r="I137" s="29">
        <f t="shared" si="9"/>
        <v>34</v>
      </c>
      <c r="J137" s="29">
        <f t="shared" si="9"/>
        <v>315</v>
      </c>
      <c r="K137" s="29">
        <f t="shared" si="9"/>
        <v>258</v>
      </c>
      <c r="L137" s="42">
        <f t="shared" si="9"/>
        <v>2190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215" t="s">
        <v>476</v>
      </c>
      <c r="C143" s="20"/>
      <c r="D143" s="20"/>
      <c r="E143" s="20"/>
      <c r="F143" s="21"/>
      <c r="G143" s="127"/>
      <c r="H143" s="22"/>
      <c r="I143" s="68"/>
      <c r="J143" s="69"/>
      <c r="K143" s="70"/>
      <c r="L143" s="70"/>
      <c r="M143" s="103"/>
    </row>
    <row r="144" spans="1:13" ht="18" x14ac:dyDescent="0.25">
      <c r="A144" s="31"/>
      <c r="B144" s="20"/>
      <c r="C144" s="20"/>
      <c r="D144" s="20"/>
      <c r="E144" s="20"/>
      <c r="F144" s="68"/>
      <c r="G144" s="69"/>
      <c r="H144" s="68"/>
      <c r="I144" s="68"/>
      <c r="J144" s="68"/>
      <c r="K144" s="71"/>
      <c r="L144" s="71"/>
      <c r="M144" s="72"/>
    </row>
    <row r="145" spans="1:13" x14ac:dyDescent="0.2">
      <c r="A145" s="27" t="s">
        <v>154</v>
      </c>
      <c r="B145" s="20"/>
      <c r="C145" s="20"/>
      <c r="D145" s="20"/>
      <c r="E145" s="20"/>
      <c r="F145" s="21"/>
      <c r="G145" s="28" t="s">
        <v>155</v>
      </c>
      <c r="H145" s="68"/>
      <c r="I145" s="68"/>
      <c r="J145" s="68"/>
      <c r="K145" s="71"/>
      <c r="L145" s="71"/>
      <c r="M145" s="72"/>
    </row>
    <row r="146" spans="1:13" x14ac:dyDescent="0.2">
      <c r="A146" s="125" t="s">
        <v>457</v>
      </c>
      <c r="B146" s="29"/>
      <c r="C146" s="29"/>
      <c r="D146" s="29"/>
      <c r="E146" s="29"/>
      <c r="F146" s="29"/>
      <c r="G146" s="127" t="s">
        <v>471</v>
      </c>
      <c r="H146" s="29"/>
      <c r="I146" s="29"/>
      <c r="J146" s="29"/>
      <c r="K146" s="29"/>
      <c r="L146" s="29"/>
      <c r="M146" s="36"/>
    </row>
    <row r="147" spans="1:13" ht="18" x14ac:dyDescent="0.25">
      <c r="A147" s="126" t="s">
        <v>458</v>
      </c>
      <c r="B147" s="74"/>
      <c r="C147" s="20"/>
      <c r="D147" s="20"/>
      <c r="E147" s="20"/>
      <c r="F147" s="68"/>
      <c r="H147" s="68"/>
      <c r="I147" s="22"/>
      <c r="J147" s="45"/>
      <c r="K147" s="20"/>
      <c r="L147" s="20"/>
      <c r="M147" s="23"/>
    </row>
    <row r="148" spans="1:13" ht="18" x14ac:dyDescent="0.25">
      <c r="A148" s="125" t="s">
        <v>470</v>
      </c>
      <c r="B148" s="20"/>
      <c r="C148" s="20"/>
      <c r="D148" s="20"/>
      <c r="E148" s="20"/>
      <c r="F148" s="68"/>
      <c r="G148" s="28" t="s">
        <v>101</v>
      </c>
      <c r="H148" s="22"/>
      <c r="I148" s="68"/>
      <c r="J148" s="68"/>
      <c r="K148" s="20"/>
      <c r="L148" s="20"/>
      <c r="M148" s="23"/>
    </row>
    <row r="149" spans="1:13" ht="18" x14ac:dyDescent="0.25">
      <c r="A149" s="125" t="s">
        <v>469</v>
      </c>
      <c r="B149" s="74"/>
      <c r="C149" s="20"/>
      <c r="D149" s="20"/>
      <c r="E149" s="20"/>
      <c r="F149" s="20"/>
      <c r="G149" s="178" t="s">
        <v>456</v>
      </c>
      <c r="H149" s="22"/>
      <c r="I149" s="22"/>
      <c r="J149" s="22"/>
      <c r="K149" s="22"/>
      <c r="L149" s="20"/>
      <c r="M149" s="23"/>
    </row>
    <row r="150" spans="1:13" x14ac:dyDescent="0.2">
      <c r="A150" s="126" t="s">
        <v>475</v>
      </c>
      <c r="B150" s="28"/>
      <c r="C150" s="28"/>
      <c r="D150" s="20"/>
      <c r="E150" s="28"/>
      <c r="F150" s="77"/>
      <c r="G150" s="127" t="s">
        <v>464</v>
      </c>
      <c r="H150" s="29"/>
      <c r="I150" s="68"/>
      <c r="J150" s="68"/>
      <c r="K150" s="20"/>
      <c r="L150" s="20"/>
      <c r="M150" s="23"/>
    </row>
    <row r="151" spans="1:13" x14ac:dyDescent="0.2">
      <c r="A151" s="125" t="s">
        <v>480</v>
      </c>
      <c r="B151" s="20"/>
      <c r="C151" s="20"/>
      <c r="D151" s="20"/>
      <c r="E151" s="20"/>
      <c r="F151" s="77"/>
      <c r="G151" s="127" t="s">
        <v>465</v>
      </c>
      <c r="H151" s="29"/>
      <c r="I151" s="68"/>
      <c r="J151" s="68"/>
      <c r="K151" s="20"/>
      <c r="L151" s="20"/>
      <c r="M151" s="23"/>
    </row>
    <row r="152" spans="1:13" x14ac:dyDescent="0.2">
      <c r="A152" s="125" t="s">
        <v>481</v>
      </c>
      <c r="B152" s="20"/>
      <c r="C152" s="20"/>
      <c r="D152" s="20"/>
      <c r="E152" s="20"/>
      <c r="F152" s="77"/>
      <c r="G152" s="178" t="s">
        <v>466</v>
      </c>
      <c r="K152" s="20"/>
      <c r="L152" s="20"/>
      <c r="M152" s="23"/>
    </row>
    <row r="153" spans="1:13" ht="18" x14ac:dyDescent="0.25">
      <c r="A153" s="125"/>
      <c r="B153" s="29"/>
      <c r="C153" s="29"/>
      <c r="D153" s="29"/>
      <c r="E153" s="29"/>
      <c r="F153" s="21"/>
      <c r="G153" s="178" t="s">
        <v>473</v>
      </c>
      <c r="H153" s="29"/>
      <c r="I153" s="22"/>
      <c r="J153" s="22"/>
      <c r="K153" s="20"/>
      <c r="L153" s="20"/>
      <c r="M153" s="23"/>
    </row>
    <row r="154" spans="1:13" x14ac:dyDescent="0.2">
      <c r="A154" s="31"/>
      <c r="B154" s="20"/>
      <c r="C154" s="20"/>
      <c r="D154" s="20"/>
      <c r="E154" s="20"/>
      <c r="F154" s="21"/>
      <c r="G154" s="178" t="s">
        <v>477</v>
      </c>
      <c r="H154" s="29"/>
      <c r="I154" s="68"/>
      <c r="J154" s="68"/>
      <c r="K154" s="71"/>
      <c r="L154" s="71"/>
      <c r="M154" s="72"/>
    </row>
    <row r="155" spans="1:13" x14ac:dyDescent="0.2">
      <c r="A155" s="125"/>
      <c r="B155" s="20"/>
      <c r="C155" s="20"/>
      <c r="D155" s="20"/>
      <c r="E155" s="20"/>
      <c r="F155" s="21"/>
      <c r="H155" s="29"/>
      <c r="I155" s="68"/>
      <c r="K155" s="71"/>
      <c r="L155" s="71"/>
      <c r="M155" s="72"/>
    </row>
    <row r="156" spans="1:13" x14ac:dyDescent="0.2">
      <c r="A156" s="116" t="s">
        <v>157</v>
      </c>
      <c r="B156" s="20"/>
      <c r="C156" s="20"/>
      <c r="D156" s="20"/>
      <c r="E156" s="20"/>
      <c r="F156" s="21"/>
      <c r="G156" s="109" t="s">
        <v>156</v>
      </c>
      <c r="H156" s="29"/>
      <c r="I156" s="68"/>
      <c r="J156" s="68"/>
      <c r="K156" s="71"/>
      <c r="L156" s="71"/>
      <c r="M156" s="72"/>
    </row>
    <row r="157" spans="1:13" ht="18" x14ac:dyDescent="0.25">
      <c r="A157" s="126" t="s">
        <v>472</v>
      </c>
      <c r="B157" s="20"/>
      <c r="C157" s="20"/>
      <c r="D157" s="20"/>
      <c r="E157" s="20"/>
      <c r="F157" s="21"/>
      <c r="G157" s="127" t="s">
        <v>468</v>
      </c>
      <c r="H157" s="29"/>
      <c r="I157" s="22"/>
      <c r="J157" s="22"/>
      <c r="K157" s="71"/>
      <c r="L157" s="71"/>
      <c r="M157" s="72"/>
    </row>
    <row r="158" spans="1:13" x14ac:dyDescent="0.2">
      <c r="A158" s="126" t="s">
        <v>474</v>
      </c>
      <c r="B158" s="20"/>
      <c r="C158" s="20"/>
      <c r="D158" s="29"/>
      <c r="E158" s="29"/>
      <c r="F158" s="29"/>
      <c r="G158" s="208" t="s">
        <v>459</v>
      </c>
      <c r="H158" s="29"/>
      <c r="I158" s="29"/>
      <c r="J158" s="29"/>
      <c r="K158" s="29"/>
      <c r="L158" s="29"/>
      <c r="M158" s="36"/>
    </row>
    <row r="159" spans="1:13" x14ac:dyDescent="0.2">
      <c r="A159" s="125"/>
      <c r="B159" s="20"/>
      <c r="C159" s="20"/>
      <c r="D159" s="20"/>
      <c r="E159" s="20"/>
      <c r="F159" s="21"/>
      <c r="G159" s="180" t="s">
        <v>460</v>
      </c>
      <c r="H159" s="29"/>
      <c r="I159" s="29"/>
      <c r="J159" s="29"/>
      <c r="K159" s="71"/>
      <c r="L159" s="71"/>
      <c r="M159" s="72"/>
    </row>
    <row r="160" spans="1:13" x14ac:dyDescent="0.2">
      <c r="A160" s="125"/>
      <c r="B160" s="28"/>
      <c r="C160" s="28"/>
      <c r="D160" s="20"/>
      <c r="E160" s="20"/>
      <c r="F160" s="21"/>
      <c r="G160" s="180" t="s">
        <v>461</v>
      </c>
      <c r="H160" s="29"/>
      <c r="I160" s="68"/>
      <c r="J160" s="68"/>
      <c r="K160" s="71"/>
      <c r="L160" s="71"/>
      <c r="M160" s="72"/>
    </row>
    <row r="161" spans="1:13" x14ac:dyDescent="0.2">
      <c r="A161" s="125"/>
      <c r="B161" s="20"/>
      <c r="C161" s="20"/>
      <c r="D161" s="20"/>
      <c r="E161" s="74"/>
      <c r="F161" s="20"/>
      <c r="G161" s="180" t="s">
        <v>462</v>
      </c>
      <c r="H161" s="29"/>
      <c r="I161" s="20"/>
      <c r="J161" s="68" t="s">
        <v>463</v>
      </c>
      <c r="K161" s="29"/>
      <c r="L161" s="29"/>
      <c r="M161" s="36"/>
    </row>
    <row r="162" spans="1:13" ht="18" x14ac:dyDescent="0.25">
      <c r="A162" s="31"/>
      <c r="B162" s="20"/>
      <c r="C162" s="20"/>
      <c r="D162" s="20"/>
      <c r="E162" s="20"/>
      <c r="F162" s="21"/>
      <c r="G162" s="178" t="s">
        <v>467</v>
      </c>
      <c r="H162" s="29"/>
      <c r="I162" s="22"/>
      <c r="J162" s="22"/>
      <c r="K162" s="20"/>
      <c r="L162" s="20"/>
      <c r="M162" s="23"/>
    </row>
    <row r="163" spans="1:13" ht="18" x14ac:dyDescent="0.25">
      <c r="A163" s="31"/>
      <c r="B163" s="20"/>
      <c r="C163" s="20"/>
      <c r="D163" s="20"/>
      <c r="E163" s="74"/>
      <c r="F163" s="68"/>
      <c r="G163" s="178" t="s">
        <v>478</v>
      </c>
      <c r="H163" s="69"/>
      <c r="I163" s="68"/>
      <c r="J163" s="69"/>
      <c r="K163" s="70"/>
      <c r="L163" s="70"/>
      <c r="M163" s="23"/>
    </row>
    <row r="164" spans="1:13" ht="18" x14ac:dyDescent="0.25">
      <c r="A164" s="107"/>
      <c r="B164" s="24"/>
      <c r="C164" s="24"/>
      <c r="D164" s="24"/>
      <c r="E164" s="102"/>
      <c r="F164" s="76"/>
      <c r="G164" s="216" t="s">
        <v>479</v>
      </c>
      <c r="H164" s="108"/>
      <c r="I164" s="76"/>
      <c r="J164" s="108"/>
      <c r="K164" s="75"/>
      <c r="L164" s="75"/>
      <c r="M164" s="99"/>
    </row>
    <row r="165" spans="1:13" x14ac:dyDescent="0.2">
      <c r="A165" s="74"/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0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19:C119"/>
    <mergeCell ref="B108:C108"/>
    <mergeCell ref="B109:C109"/>
    <mergeCell ref="B112:C112"/>
    <mergeCell ref="B116:C116"/>
    <mergeCell ref="B117:C117"/>
    <mergeCell ref="B118:C118"/>
  </mergeCells>
  <pageMargins left="0.5" right="0.5" top="0.5" bottom="0.5" header="0.3" footer="0.5"/>
  <pageSetup scale="97" fitToHeight="0" orientation="landscape" r:id="rId1"/>
  <headerFooter>
    <oddHeader>&amp;C
&amp;RJune 2017
 - Page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tabSelected="1" topLeftCell="A37" workbookViewId="0">
      <selection activeCell="N75" sqref="N75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 t="s">
        <v>187</v>
      </c>
      <c r="H2" s="134"/>
      <c r="I2" s="134"/>
      <c r="J2" s="7"/>
    </row>
    <row r="6" spans="1:18" x14ac:dyDescent="0.2">
      <c r="A6" s="137" t="s">
        <v>15</v>
      </c>
      <c r="B6" s="138"/>
      <c r="C6" s="200" t="s">
        <v>3</v>
      </c>
      <c r="D6" s="200" t="s">
        <v>4</v>
      </c>
      <c r="E6" s="200" t="s">
        <v>0</v>
      </c>
      <c r="F6" s="200" t="s">
        <v>1</v>
      </c>
      <c r="G6" s="200" t="s">
        <v>2</v>
      </c>
      <c r="H6" s="200" t="s">
        <v>5</v>
      </c>
      <c r="I6" s="200" t="s">
        <v>6</v>
      </c>
      <c r="J6" s="200" t="s">
        <v>27</v>
      </c>
      <c r="K6" s="200" t="s">
        <v>39</v>
      </c>
      <c r="L6" s="200" t="s">
        <v>143</v>
      </c>
      <c r="M6" s="64" t="s">
        <v>14</v>
      </c>
    </row>
    <row r="7" spans="1:18" x14ac:dyDescent="0.2">
      <c r="A7" s="31"/>
      <c r="B7" s="29" t="s">
        <v>16</v>
      </c>
      <c r="C7" s="29">
        <f>SUM('July 2016'!C7+'Aug 2016'!C7+'Sept 2016'!C7+'Oct. 2016'!C7+'Nov. 2016'!C7+'Dec. 2016'!C7+'Jan. 2017'!C7+'Feb. 2017'!C7+'March 2017'!C7+'April 2017'!C7+'May 2017'!C7+'June 2017'!C7)</f>
        <v>1075</v>
      </c>
      <c r="D7" s="29">
        <f>SUM('July 2016'!D7+'Aug 2016'!D7+'Sept 2016'!D7+'Oct. 2016'!D7+'Nov. 2016'!D7+'Dec. 2016'!D7+'Jan. 2017'!D7+'Feb. 2017'!D7+'March 2017'!D7+'April 2017'!D7+'May 2017'!D7+'June 2017'!D7)</f>
        <v>134</v>
      </c>
      <c r="E7" s="29">
        <f>SUM('July 2016'!E7+'Aug 2016'!E7+'Sept 2016'!E7+'Oct. 2016'!E7+'Nov. 2016'!E7+'Dec. 2016'!E7+'Jan. 2017'!E7+'Feb. 2017'!E7+'March 2017'!E7+'April 2017'!E7+'May 2017'!E7+'June 2017'!E7)</f>
        <v>2155</v>
      </c>
      <c r="F7" s="29">
        <f>SUM('July 2016'!F7+'Aug 2016'!F7+'Sept 2016'!F7+'Oct. 2016'!F7+'Nov. 2016'!F7+'Dec. 2016'!F7+'Jan. 2017'!F7+'Feb. 2017'!F7+'March 2017'!F7+'April 2017'!F7+'May 2017'!F7+'June 2017'!F7)</f>
        <v>5878</v>
      </c>
      <c r="G7" s="29">
        <f>SUM('July 2016'!G7+'Aug 2016'!G7+'Sept 2016'!G7+'Oct. 2016'!G7+'Nov. 2016'!G7+'Dec. 2016'!G7+'Jan. 2017'!G7+'Feb. 2017'!G7+'March 2017'!G7+'April 2017'!G7+'May 2017'!G7+'June 2017'!G7)</f>
        <v>1050</v>
      </c>
      <c r="H7" s="29">
        <f>SUM('July 2016'!H7+'Aug 2016'!H7+'Sept 2016'!H7+'Oct. 2016'!H7+'Nov. 2016'!H7+'Dec. 2016'!H7+'Jan. 2017'!H7+'Feb. 2017'!H7+'March 2017'!H7+'April 2017'!H7+'May 2017'!H7+'June 2017'!H7)</f>
        <v>19</v>
      </c>
      <c r="I7" s="29">
        <f>SUM('July 2016'!I7+'Aug 2016'!I7+'Sept 2016'!I7+'Oct. 2016'!I7+'Nov. 2016'!I7+'Dec. 2016'!I7+'Jan. 2017'!I7+'Feb. 2017'!I7+'March 2017'!I7+'April 2017'!I7+'May 2017'!I7+'June 2017'!I7)</f>
        <v>27</v>
      </c>
      <c r="J7" s="29">
        <f>SUM('July 2016'!J7+'Aug 2016'!J7+'Sept 2016'!J7+'Oct. 2016'!J7+'Nov. 2016'!J7+'Dec. 2016'!J7+'Jan. 2017'!J7+'Feb. 2017'!J7+'March 2017'!J7+'April 2017'!J7+'May 2017'!J7+'June 2017'!J7)</f>
        <v>4219</v>
      </c>
      <c r="K7" s="29">
        <f>SUM('July 2016'!K7+'Aug 2016'!K7+'Sept 2016'!K7+'Oct. 2016'!K7+'Nov. 2016'!K7+'Dec. 2016'!K7+'Jan. 2017'!K7+'Feb. 2017'!K7+'March 2017'!K7+'April 2017'!K7+'May 2017'!K7+'June 2017'!K7)</f>
        <v>287</v>
      </c>
      <c r="L7" s="29"/>
      <c r="M7" s="51">
        <f>SUM(C7:L7)</f>
        <v>14844</v>
      </c>
    </row>
    <row r="8" spans="1:18" x14ac:dyDescent="0.2">
      <c r="A8" s="31"/>
      <c r="B8" s="47" t="s">
        <v>146</v>
      </c>
      <c r="C8" s="29">
        <f>SUM('July 2016'!C8+'Aug 2016'!C8+'Sept 2016'!C8+'Oct. 2016'!C8+'Nov. 2016'!C8+'Dec. 2016'!C8+'Jan. 2017'!C8+'Feb. 2017'!C8+'March 2017'!C8+'April 2017'!C8+'May 2017'!C8+'June 2017'!C8)</f>
        <v>113</v>
      </c>
      <c r="D8" s="29">
        <f>SUM('July 2016'!D8+'Aug 2016'!D8+'Sept 2016'!D8+'Oct. 2016'!D8+'Nov. 2016'!D8+'Dec. 2016'!D8+'Jan. 2017'!D8+'Feb. 2017'!D8+'March 2017'!D8+'April 2017'!D8+'May 2017'!D8+'June 2017'!D8)</f>
        <v>1</v>
      </c>
      <c r="E8" s="29">
        <f>SUM('July 2016'!E8+'Aug 2016'!E8+'Sept 2016'!E8+'Oct. 2016'!E8+'Nov. 2016'!E8+'Dec. 2016'!E8+'Jan. 2017'!E8+'Feb. 2017'!E8+'March 2017'!E8+'April 2017'!E8+'May 2017'!E8+'June 2017'!E8)</f>
        <v>172</v>
      </c>
      <c r="F8" s="29">
        <f>SUM('July 2016'!F8+'Aug 2016'!F8+'Sept 2016'!F8+'Oct. 2016'!F8+'Nov. 2016'!F8+'Dec. 2016'!F8+'Jan. 2017'!F8+'Feb. 2017'!F8+'March 2017'!F8+'April 2017'!F8+'May 2017'!F8+'June 2017'!F8)</f>
        <v>687</v>
      </c>
      <c r="G8" s="29">
        <f>SUM('July 2016'!G8+'Aug 2016'!G8+'Sept 2016'!G8+'Oct. 2016'!G8+'Nov. 2016'!G8+'Dec. 2016'!G8+'Jan. 2017'!G8+'Feb. 2017'!G8+'March 2017'!G8+'April 2017'!G8+'May 2017'!G8+'June 2017'!G8)</f>
        <v>110</v>
      </c>
      <c r="H8" s="29">
        <f>SUM('July 2016'!H8+'Aug 2016'!H8+'Sept 2016'!H8+'Oct. 2016'!H8+'Nov. 2016'!H8+'Dec. 2016'!H8+'Jan. 2017'!H8+'Feb. 2017'!H8+'March 2017'!H8+'April 2017'!H8+'May 2017'!H8+'June 2017'!H8)</f>
        <v>2</v>
      </c>
      <c r="I8" s="29">
        <f>SUM('July 2016'!I8+'Aug 2016'!I8+'Sept 2016'!I8+'Oct. 2016'!I8+'Nov. 2016'!I8+'Dec. 2016'!I8+'Jan. 2017'!I8+'Feb. 2017'!I8+'March 2017'!I8+'April 2017'!I8+'May 2017'!I8+'June 2017'!I8)</f>
        <v>2</v>
      </c>
      <c r="J8" s="29">
        <f>SUM('July 2016'!J8+'Aug 2016'!J8+'Sept 2016'!J8+'Oct. 2016'!J8+'Nov. 2016'!J8+'Dec. 2016'!J8+'Jan. 2017'!J8+'Feb. 2017'!J8+'March 2017'!J8+'April 2017'!J8+'May 2017'!J8+'June 2017'!J8)</f>
        <v>370</v>
      </c>
      <c r="K8" s="29">
        <f>SUM('July 2016'!K8+'Aug 2016'!K8+'Sept 2016'!K8+'Oct. 2016'!K8+'Nov. 2016'!K8+'Dec. 2016'!K8+'Jan. 2017'!K8+'Feb. 2017'!K8+'March 2017'!K8+'April 2017'!K8+'May 2017'!K8+'June 2017'!K8)</f>
        <v>18</v>
      </c>
      <c r="L8" s="29">
        <f>SUM('July 2016'!L8+'Aug 2016'!L8+'Sept 2016'!L8+'Oct. 2016'!L8+'Nov. 2016'!L8+'Dec. 2016'!L8+'Jan. 2017'!L8+'Feb. 2017'!L8+'March 2017'!L8+'April 2017'!L8+'May 2017'!L8+'June 2017'!L8)</f>
        <v>223</v>
      </c>
      <c r="M8" s="51">
        <f>SUM(C8:L8)</f>
        <v>1698</v>
      </c>
    </row>
    <row r="9" spans="1:18" x14ac:dyDescent="0.2">
      <c r="A9" s="31"/>
      <c r="B9" s="47" t="s">
        <v>147</v>
      </c>
      <c r="C9" s="29">
        <f>SUM('July 2016'!C9+'Aug 2016'!C9+'Sept 2016'!C9+'Oct. 2016'!C9+'Nov. 2016'!C9+'Dec. 2016'!C9+'Jan. 2017'!C9+'Feb. 2017'!C9+'March 2017'!C9+'April 2017'!C9+'May 2017'!C9+'June 2017'!C9)</f>
        <v>90</v>
      </c>
      <c r="D9" s="29">
        <f>SUM('July 2016'!D9+'Aug 2016'!D9+'Sept 2016'!D9+'Oct. 2016'!D9+'Nov. 2016'!D9+'Dec. 2016'!D9+'Jan. 2017'!D9+'Feb. 2017'!D9+'March 2017'!D9+'April 2017'!D9+'May 2017'!D9+'June 2017'!D9)</f>
        <v>0</v>
      </c>
      <c r="E9" s="29">
        <f>SUM('July 2016'!E9+'Aug 2016'!E9+'Sept 2016'!E9+'Oct. 2016'!E9+'Nov. 2016'!E9+'Dec. 2016'!E9+'Jan. 2017'!E9+'Feb. 2017'!E9+'March 2017'!E9+'April 2017'!E9+'May 2017'!E9+'June 2017'!E9)</f>
        <v>126</v>
      </c>
      <c r="F9" s="29">
        <f>SUM('July 2016'!F9+'Aug 2016'!F9+'Sept 2016'!F9+'Oct. 2016'!F9+'Nov. 2016'!F9+'Dec. 2016'!F9+'Jan. 2017'!F9+'Feb. 2017'!F9+'March 2017'!F9+'April 2017'!F9+'May 2017'!F9+'June 2017'!F9)</f>
        <v>716</v>
      </c>
      <c r="G9" s="29">
        <f>SUM('July 2016'!G9+'Aug 2016'!G9+'Sept 2016'!G9+'Oct. 2016'!G9+'Nov. 2016'!G9+'Dec. 2016'!G9+'Jan. 2017'!G9+'Feb. 2017'!G9+'March 2017'!G9+'April 2017'!G9+'May 2017'!G9+'June 2017'!G9)</f>
        <v>185</v>
      </c>
      <c r="H9" s="29">
        <f>SUM('July 2016'!H9+'Aug 2016'!H9+'Sept 2016'!H9+'Oct. 2016'!H9+'Nov. 2016'!H9+'Dec. 2016'!H9+'Jan. 2017'!H9+'Feb. 2017'!H9+'March 2017'!H9+'April 2017'!H9+'May 2017'!H9+'June 2017'!H9)</f>
        <v>0</v>
      </c>
      <c r="I9" s="29">
        <f>SUM('July 2016'!I9+'Aug 2016'!I9+'Sept 2016'!I9+'Oct. 2016'!I9+'Nov. 2016'!I9+'Dec. 2016'!I9+'Jan. 2017'!I9+'Feb. 2017'!I9+'March 2017'!I9+'April 2017'!I9+'May 2017'!I9+'June 2017'!I9)</f>
        <v>0</v>
      </c>
      <c r="J9" s="29">
        <f>SUM('July 2016'!J9+'Aug 2016'!J9+'Sept 2016'!J9+'Oct. 2016'!J9+'Nov. 2016'!J9+'Dec. 2016'!J9+'Jan. 2017'!J9+'Feb. 2017'!J9+'March 2017'!J9+'April 2017'!J9+'May 2017'!J9+'June 2017'!J9)</f>
        <v>308</v>
      </c>
      <c r="K9" s="29">
        <f>SUM('July 2016'!K9+'Aug 2016'!K9+'Sept 2016'!K9+'Oct. 2016'!K9+'Nov. 2016'!K9+'Dec. 2016'!K9+'Jan. 2017'!K9+'Feb. 2017'!K9+'March 2017'!K9+'April 2017'!K9+'May 2017'!K9+'June 2017'!K9)</f>
        <v>128</v>
      </c>
      <c r="L9" s="29"/>
      <c r="M9" s="51">
        <f>SUM(C9:L9)</f>
        <v>1553</v>
      </c>
    </row>
    <row r="10" spans="1:18" x14ac:dyDescent="0.2">
      <c r="A10" s="41"/>
      <c r="B10" s="55" t="s">
        <v>14</v>
      </c>
      <c r="C10" s="38">
        <f>SUM(C7:C9)</f>
        <v>1278</v>
      </c>
      <c r="D10" s="38">
        <f t="shared" ref="D10:M10" si="0">SUM(D7:D9)</f>
        <v>135</v>
      </c>
      <c r="E10" s="38">
        <f t="shared" si="0"/>
        <v>2453</v>
      </c>
      <c r="F10" s="38">
        <f t="shared" si="0"/>
        <v>7281</v>
      </c>
      <c r="G10" s="38">
        <f t="shared" si="0"/>
        <v>1345</v>
      </c>
      <c r="H10" s="38">
        <f t="shared" si="0"/>
        <v>21</v>
      </c>
      <c r="I10" s="38">
        <f t="shared" si="0"/>
        <v>29</v>
      </c>
      <c r="J10" s="38">
        <f t="shared" si="0"/>
        <v>4897</v>
      </c>
      <c r="K10" s="38">
        <f t="shared" si="0"/>
        <v>433</v>
      </c>
      <c r="L10" s="38">
        <f t="shared" si="0"/>
        <v>223</v>
      </c>
      <c r="M10" s="38">
        <f t="shared" si="0"/>
        <v>18095</v>
      </c>
    </row>
    <row r="11" spans="1:18" x14ac:dyDescent="0.2">
      <c r="B11" s="1"/>
      <c r="C11" s="2" t="s">
        <v>356</v>
      </c>
      <c r="D11" s="2"/>
    </row>
    <row r="12" spans="1:18" x14ac:dyDescent="0.2">
      <c r="A12" s="132" t="s">
        <v>51</v>
      </c>
      <c r="B12" s="139"/>
      <c r="C12" s="122">
        <v>3291</v>
      </c>
      <c r="D12" s="123">
        <v>76</v>
      </c>
      <c r="E12" s="122">
        <v>14216</v>
      </c>
      <c r="F12" s="123">
        <v>11773</v>
      </c>
      <c r="G12" s="123">
        <v>9222</v>
      </c>
      <c r="H12" s="123">
        <v>102</v>
      </c>
      <c r="I12" s="123">
        <v>58</v>
      </c>
      <c r="J12" s="123">
        <v>11182</v>
      </c>
      <c r="K12" s="123">
        <v>1843</v>
      </c>
      <c r="L12" s="123"/>
      <c r="M12" s="124">
        <f>SUM(C12:K12)</f>
        <v>51763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D16" s="1" t="s">
        <v>356</v>
      </c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85</v>
      </c>
      <c r="D19" s="29">
        <v>1</v>
      </c>
      <c r="E19" s="29">
        <v>126</v>
      </c>
      <c r="F19" s="4">
        <v>229</v>
      </c>
      <c r="G19" s="4">
        <v>85</v>
      </c>
      <c r="H19" s="4">
        <v>1</v>
      </c>
      <c r="I19" s="4">
        <v>5</v>
      </c>
      <c r="J19" s="4">
        <v>71</v>
      </c>
      <c r="K19" s="4">
        <v>45</v>
      </c>
      <c r="L19" s="51">
        <f>SUM(C19:K19)</f>
        <v>648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1</v>
      </c>
      <c r="D21" s="4">
        <v>1</v>
      </c>
      <c r="E21" s="4">
        <v>17</v>
      </c>
      <c r="F21" s="4">
        <v>16</v>
      </c>
      <c r="G21" s="4">
        <v>19</v>
      </c>
      <c r="H21" s="4">
        <v>1</v>
      </c>
      <c r="I21" s="4">
        <v>0</v>
      </c>
      <c r="J21" s="4">
        <v>29</v>
      </c>
      <c r="K21" s="4">
        <v>0</v>
      </c>
      <c r="L21" s="51">
        <f>SUM(C21:K21)</f>
        <v>84</v>
      </c>
    </row>
    <row r="22" spans="1:13" x14ac:dyDescent="0.2">
      <c r="A22" s="31"/>
      <c r="B22" s="29" t="s">
        <v>10</v>
      </c>
      <c r="C22" s="4">
        <v>6</v>
      </c>
      <c r="D22" s="4">
        <v>4</v>
      </c>
      <c r="E22" s="4">
        <v>16</v>
      </c>
      <c r="F22" s="4">
        <v>57</v>
      </c>
      <c r="G22" s="4">
        <v>20</v>
      </c>
      <c r="H22" s="4">
        <v>2</v>
      </c>
      <c r="I22" s="4">
        <v>2</v>
      </c>
      <c r="J22" s="4">
        <v>24</v>
      </c>
      <c r="K22" s="4">
        <v>6</v>
      </c>
      <c r="L22" s="51">
        <f>SUM(C22:K22)</f>
        <v>137</v>
      </c>
    </row>
    <row r="23" spans="1:13" ht="13.5" thickBot="1" x14ac:dyDescent="0.25">
      <c r="A23" s="31"/>
      <c r="B23" s="29" t="s">
        <v>9</v>
      </c>
      <c r="C23" s="3">
        <v>140</v>
      </c>
      <c r="D23" s="3">
        <v>98</v>
      </c>
      <c r="E23" s="3">
        <v>315</v>
      </c>
      <c r="F23" s="3">
        <v>341</v>
      </c>
      <c r="G23" s="3">
        <v>184</v>
      </c>
      <c r="H23" s="3">
        <v>12</v>
      </c>
      <c r="I23" s="3">
        <v>13</v>
      </c>
      <c r="J23" s="3">
        <v>619</v>
      </c>
      <c r="K23" s="3">
        <v>175</v>
      </c>
      <c r="L23" s="49">
        <f>SUM(C23:K23)</f>
        <v>1897</v>
      </c>
    </row>
    <row r="24" spans="1:13" ht="13.5" thickTop="1" x14ac:dyDescent="0.2">
      <c r="A24" s="31"/>
      <c r="B24" s="50" t="s">
        <v>14</v>
      </c>
      <c r="C24" s="29">
        <f>SUM(C19:C23)</f>
        <v>233</v>
      </c>
      <c r="D24" s="29">
        <f t="shared" ref="D24:L24" si="1">SUM(D19:D23)</f>
        <v>104</v>
      </c>
      <c r="E24" s="29">
        <f t="shared" si="1"/>
        <v>475</v>
      </c>
      <c r="F24" s="29">
        <f t="shared" si="1"/>
        <v>643</v>
      </c>
      <c r="G24" s="29">
        <f t="shared" si="1"/>
        <v>309</v>
      </c>
      <c r="H24" s="29">
        <f t="shared" si="1"/>
        <v>16</v>
      </c>
      <c r="I24" s="29">
        <f t="shared" si="1"/>
        <v>20</v>
      </c>
      <c r="J24" s="29">
        <f t="shared" si="1"/>
        <v>743</v>
      </c>
      <c r="K24" s="29">
        <f t="shared" si="1"/>
        <v>231</v>
      </c>
      <c r="L24" s="29">
        <f t="shared" si="1"/>
        <v>2774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401</v>
      </c>
      <c r="M26" s="156" t="s">
        <v>14</v>
      </c>
    </row>
    <row r="27" spans="1:13" x14ac:dyDescent="0.2">
      <c r="A27" s="132" t="s">
        <v>34</v>
      </c>
      <c r="B27" s="139"/>
      <c r="C27" s="122">
        <f>SUM('July 2016'!C27+'Aug 2016'!C27+'Sept 2016'!C27+'Oct. 2016'!C27+'Nov. 2016'!C27+'Dec. 2016'!C27+'Jan. 2017'!C27+'Feb. 2017'!C27+'March 2017'!C27+'April 2017'!C27+'May 2017'!C27+'June 2017'!C27)</f>
        <v>274.74</v>
      </c>
      <c r="D27" s="122">
        <f>SUM('July 2016'!D27+'Aug 2016'!D27+'Sept 2016'!D27+'Oct. 2016'!D27+'Nov. 2016'!D27+'Dec. 2016'!D27+'Jan. 2017'!D27+'Feb. 2017'!D27+'March 2017'!D27+'April 2017'!D27+'May 2017'!D27+'June 2017'!D27)</f>
        <v>8.5</v>
      </c>
      <c r="E27" s="122">
        <f>SUM('July 2016'!E27+'Aug 2016'!E27+'Sept 2016'!E27+'Oct. 2016'!E27+'Nov. 2016'!E27+'Dec. 2016'!E27+'Jan. 2017'!E27+'Feb. 2017'!E27+'March 2017'!E27+'April 2017'!E27+'May 2017'!E27+'June 2017'!E27)</f>
        <v>455.22</v>
      </c>
      <c r="F27" s="122">
        <f>SUM('July 2016'!F27+'Aug 2016'!F27+'Sept 2016'!F27+'Oct. 2016'!F27+'Nov. 2016'!F27+'Dec. 2016'!F27+'Jan. 2017'!F27+'Feb. 2017'!F27+'March 2017'!F27+'April 2017'!F27+'May 2017'!F27+'June 2017'!F27)</f>
        <v>652.92000000000007</v>
      </c>
      <c r="G27" s="122">
        <f>SUM('July 2016'!G27+'Aug 2016'!G27+'Sept 2016'!G27+'Oct. 2016'!G27+'Nov. 2016'!G27+'Dec. 2016'!G27+'Jan. 2017'!G27+'Feb. 2017'!G27+'March 2017'!G27+'April 2017'!G27+'May 2017'!G27+'June 2017'!G27)</f>
        <v>151.4</v>
      </c>
      <c r="H27" s="122">
        <f>SUM('July 2016'!H27+'Aug 2016'!H27+'Sept 2016'!H27+'Oct. 2016'!H27+'Nov. 2016'!H27+'Dec. 2016'!H27+'Jan. 2017'!H27+'Feb. 2017'!H27+'March 2017'!H27+'April 2017'!H27+'May 2017'!H27+'June 2017'!H27)</f>
        <v>4.5</v>
      </c>
      <c r="I27" s="122">
        <f>SUM('July 2016'!I27+'Aug 2016'!I27+'Sept 2016'!I27+'Oct. 2016'!I27+'Nov. 2016'!I27+'Dec. 2016'!I27+'Jan. 2017'!I27+'Feb. 2017'!I27+'March 2017'!I27+'April 2017'!I27+'May 2017'!I27+'June 2017'!I27)</f>
        <v>76</v>
      </c>
      <c r="J27" s="122">
        <f>SUM('July 2016'!J27+'Aug 2016'!J27+'Sept 2016'!J27+'Oct. 2016'!J27+'Nov. 2016'!J27+'Dec. 2016'!J27+'Jan. 2017'!J27+'Feb. 2017'!J27+'March 2017'!J27+'April 2017'!J27+'May 2017'!J27+'June 2017'!J27)</f>
        <v>552.92999999999995</v>
      </c>
      <c r="K27" s="122">
        <f>SUM('July 2016'!K27+'Aug 2016'!K27+'Sept 2016'!K27+'Oct. 2016'!K27+'Nov. 2016'!K27+'Dec. 2016'!K27+'Jan. 2017'!K27+'Feb. 2017'!K27+'March 2017'!K27+'April 2017'!K27+'May 2017'!K27+'June 2017'!K27)</f>
        <v>195.35000000000002</v>
      </c>
      <c r="L27" s="122">
        <f>SUM('July 2016'!L27+'Aug 2016'!L27+'Sept 2016'!L27+'Oct. 2016'!L27+'Nov. 2016'!L27+'Dec. 2016'!L27+'Jan. 2017'!L27+'Feb. 2017'!L27+'March 2017'!L27+'April 2017'!L27+'May 2017'!L27+'June 2017'!L27)</f>
        <v>180.96</v>
      </c>
      <c r="M27" s="118">
        <f>SUM(C27:L27)</f>
        <v>2552.52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f>SUM('July 2016'!C31+'Aug 2016'!C31+'Sept 2016'!C31+'Oct. 2016'!C31+'Nov. 2016'!C31+'Dec. 2016'!C31+'Jan. 2017'!C31+'Feb. 2017'!C31+'March 2017'!C31+'April 2017'!C31+'May 2017'!C31+'June 2017'!C31)</f>
        <v>532</v>
      </c>
      <c r="D31" s="29">
        <f>SUM('July 2016'!D31+'Aug 2016'!D31+'Sept 2016'!D31+'Oct. 2016'!D31+'Nov. 2016'!D31+'Dec. 2016'!D31+'Jan. 2017'!D31+'Feb. 2017'!D31+'March 2017'!D31+'April 2017'!D31+'May 2017'!D31+'June 2017'!D31)</f>
        <v>161</v>
      </c>
      <c r="E31" s="29">
        <f>SUM('July 2016'!E31+'Aug 2016'!E31+'Sept 2016'!E31+'Oct. 2016'!E31+'Nov. 2016'!E31+'Dec. 2016'!E31+'Jan. 2017'!E31+'Feb. 2017'!E31+'March 2017'!E31+'April 2017'!E31+'May 2017'!E31+'June 2017'!E31)</f>
        <v>939</v>
      </c>
      <c r="F31" s="29">
        <f>SUM('July 2016'!F31+'Aug 2016'!F31+'Sept 2016'!F31+'Oct. 2016'!F31+'Nov. 2016'!F31+'Dec. 2016'!F31+'Jan. 2017'!F31+'Feb. 2017'!F31+'March 2017'!F31+'April 2017'!F31+'May 2017'!F31+'June 2017'!F31)</f>
        <v>2467</v>
      </c>
      <c r="G31" s="29">
        <f>SUM('July 2016'!G31+'Aug 2016'!G31+'Sept 2016'!G31+'Oct. 2016'!G31+'Nov. 2016'!G31+'Dec. 2016'!G31+'Jan. 2017'!G31+'Feb. 2017'!G31+'March 2017'!G31+'April 2017'!G31+'May 2017'!G31+'June 2017'!G31)</f>
        <v>1960</v>
      </c>
      <c r="H31" s="29">
        <f>SUM('July 2016'!H31+'Aug 2016'!H31+'Sept 2016'!H31+'Oct. 2016'!H31+'Nov. 2016'!H31+'Dec. 2016'!H31+'Jan. 2017'!H31+'Feb. 2017'!H31+'March 2017'!H31+'April 2017'!H31+'May 2017'!H31+'June 2017'!H31)</f>
        <v>2477</v>
      </c>
      <c r="I31" s="29">
        <f>SUM('July 2016'!I31+'Aug 2016'!I31+'Sept 2016'!I31+'Oct. 2016'!I31+'Nov. 2016'!I31+'Dec. 2016'!I31+'Jan. 2017'!I31+'Feb. 2017'!I31+'March 2017'!I31+'April 2017'!I31+'May 2017'!I31+'June 2017'!I31)</f>
        <v>49</v>
      </c>
      <c r="J31" s="29">
        <f>SUM('July 2016'!J31+'Aug 2016'!J31+'Sept 2016'!J31+'Oct. 2016'!J31+'Nov. 2016'!J31+'Dec. 2016'!J31+'Jan. 2017'!J31+'Feb. 2017'!J31+'March 2017'!J31+'April 2017'!J31+'May 2017'!J31+'June 2017'!J31)</f>
        <v>2490</v>
      </c>
      <c r="K31" s="29">
        <f>SUM('July 2016'!K31+'Aug 2016'!K31+'Sept 2016'!K31+'Oct. 2016'!K31+'Nov. 2016'!K31+'Dec. 2016'!K31+'Jan. 2017'!K31+'Feb. 2017'!K31+'March 2017'!K31+'April 2017'!K31+'May 2017'!K31+'June 2017'!K31)</f>
        <v>644</v>
      </c>
      <c r="L31" s="51">
        <f>SUM(C31:K31)</f>
        <v>11719</v>
      </c>
    </row>
    <row r="32" spans="1:13" x14ac:dyDescent="0.2">
      <c r="B32" s="60" t="s">
        <v>18</v>
      </c>
      <c r="C32" s="29">
        <f>SUM('July 2016'!C32+'Aug 2016'!C32+'Sept 2016'!C32+'Oct. 2016'!C32+'Nov. 2016'!C32+'Dec. 2016'!C32+'Jan. 2017'!C32+'Feb. 2017'!C32+'March 2017'!C32+'April 2017'!C32+'May 2017'!C32+'June 2017'!C32)</f>
        <v>203</v>
      </c>
      <c r="D32" s="29">
        <f>SUM('July 2016'!D32+'Aug 2016'!D32+'Sept 2016'!D32+'Oct. 2016'!D32+'Nov. 2016'!D32+'Dec. 2016'!D32+'Jan. 2017'!D32+'Feb. 2017'!D32+'March 2017'!D32+'April 2017'!D32+'May 2017'!D32+'June 2017'!D32)</f>
        <v>94</v>
      </c>
      <c r="E32" s="29">
        <f>SUM('July 2016'!E32+'Aug 2016'!E32+'Sept 2016'!E32+'Oct. 2016'!E32+'Nov. 2016'!E32+'Dec. 2016'!E32+'Jan. 2017'!E32+'Feb. 2017'!E32+'March 2017'!E32+'April 2017'!E32+'May 2017'!E32+'June 2017'!E32)</f>
        <v>600</v>
      </c>
      <c r="F32" s="29">
        <f>SUM('July 2016'!F32+'Aug 2016'!F32+'Sept 2016'!F32+'Oct. 2016'!F32+'Nov. 2016'!F32+'Dec. 2016'!F32+'Jan. 2017'!F32+'Feb. 2017'!F32+'March 2017'!F32+'April 2017'!F32+'May 2017'!F32+'June 2017'!F32)</f>
        <v>562</v>
      </c>
      <c r="G32" s="29">
        <f>SUM('July 2016'!G32+'Aug 2016'!G32+'Sept 2016'!G32+'Oct. 2016'!G32+'Nov. 2016'!G32+'Dec. 2016'!G32+'Jan. 2017'!G32+'Feb. 2017'!G32+'March 2017'!G32+'April 2017'!G32+'May 2017'!G32+'June 2017'!G32)</f>
        <v>269</v>
      </c>
      <c r="H32" s="29">
        <f>SUM('July 2016'!H32+'Aug 2016'!H32+'Sept 2016'!H32+'Oct. 2016'!H32+'Nov. 2016'!H32+'Dec. 2016'!H32+'Jan. 2017'!H32+'Feb. 2017'!H32+'March 2017'!H32+'April 2017'!H32+'May 2017'!H32+'June 2017'!H32)</f>
        <v>84</v>
      </c>
      <c r="I32" s="29">
        <f>SUM('July 2016'!I32+'Aug 2016'!I32+'Sept 2016'!I32+'Oct. 2016'!I32+'Nov. 2016'!I32+'Dec. 2016'!I32+'Jan. 2017'!I32+'Feb. 2017'!I32+'March 2017'!I32+'April 2017'!I32+'May 2017'!I32+'June 2017'!I32)</f>
        <v>25</v>
      </c>
      <c r="J32" s="29">
        <f>SUM('July 2016'!J32+'Aug 2016'!J32+'Sept 2016'!J32+'Oct. 2016'!J32+'Nov. 2016'!J32+'Dec. 2016'!J32+'Jan. 2017'!J32+'Feb. 2017'!J32+'March 2017'!J32+'April 2017'!J32+'May 2017'!J32+'June 2017'!J32)</f>
        <v>408</v>
      </c>
      <c r="K32" s="29">
        <f>SUM('July 2016'!K32+'Aug 2016'!K32+'Sept 2016'!K32+'Oct. 2016'!K32+'Nov. 2016'!K32+'Dec. 2016'!K32+'Jan. 2017'!K32+'Feb. 2017'!K32+'March 2017'!K32+'April 2017'!K32+'May 2017'!K32+'June 2017'!K32)</f>
        <v>198</v>
      </c>
      <c r="L32" s="51">
        <f t="shared" ref="L32:L36" si="2">SUM(C32:K32)</f>
        <v>2443</v>
      </c>
    </row>
    <row r="33" spans="1:12" x14ac:dyDescent="0.2">
      <c r="B33" s="60" t="s">
        <v>20</v>
      </c>
      <c r="C33" s="29">
        <f>SUM('July 2016'!C33+'Aug 2016'!C33+'Sept 2016'!C33+'Oct. 2016'!C33+'Nov. 2016'!C33+'Dec. 2016'!C33+'Jan. 2017'!C33+'Feb. 2017'!C33+'March 2017'!C33+'April 2017'!C33+'May 2017'!C33+'June 2017'!C33)</f>
        <v>2158</v>
      </c>
      <c r="D33" s="29">
        <f>SUM('July 2016'!D33+'Aug 2016'!D33+'Sept 2016'!D33+'Oct. 2016'!D33+'Nov. 2016'!D33+'Dec. 2016'!D33+'Jan. 2017'!D33+'Feb. 2017'!D33+'March 2017'!D33+'April 2017'!D33+'May 2017'!D33+'June 2017'!D33)</f>
        <v>2367</v>
      </c>
      <c r="E33" s="29">
        <f>SUM('July 2016'!E33+'Aug 2016'!E33+'Sept 2016'!E33+'Oct. 2016'!E33+'Nov. 2016'!E33+'Dec. 2016'!E33+'Jan. 2017'!E33+'Feb. 2017'!E33+'March 2017'!E33+'April 2017'!E33+'May 2017'!E33+'June 2017'!E33)</f>
        <v>6491</v>
      </c>
      <c r="F33" s="29">
        <f>SUM('July 2016'!F33+'Aug 2016'!F33+'Sept 2016'!F33+'Oct. 2016'!F33+'Nov. 2016'!F33+'Dec. 2016'!F33+'Jan. 2017'!F33+'Feb. 2017'!F33+'March 2017'!F33+'April 2017'!F33+'May 2017'!F33+'June 2017'!F33)</f>
        <v>3699</v>
      </c>
      <c r="G33" s="29">
        <f>SUM('July 2016'!G33+'Aug 2016'!G33+'Sept 2016'!G33+'Oct. 2016'!G33+'Nov. 2016'!G33+'Dec. 2016'!G33+'Jan. 2017'!G33+'Feb. 2017'!G33+'March 2017'!G33+'April 2017'!G33+'May 2017'!G33+'June 2017'!G33)</f>
        <v>3178</v>
      </c>
      <c r="H33" s="29">
        <f>SUM('July 2016'!H33+'Aug 2016'!H33+'Sept 2016'!H33+'Oct. 2016'!H33+'Nov. 2016'!H33+'Dec. 2016'!H33+'Jan. 2017'!H33+'Feb. 2017'!H33+'March 2017'!H33+'April 2017'!H33+'May 2017'!H33+'June 2017'!H33)</f>
        <v>94</v>
      </c>
      <c r="I33" s="29">
        <f>SUM('July 2016'!I33+'Aug 2016'!I33+'Sept 2016'!I33+'Oct. 2016'!I33+'Nov. 2016'!I33+'Dec. 2016'!I33+'Jan. 2017'!I33+'Feb. 2017'!I33+'March 2017'!I33+'April 2017'!I33+'May 2017'!I33+'June 2017'!I33)</f>
        <v>135</v>
      </c>
      <c r="J33" s="29">
        <f>SUM('July 2016'!J33+'Aug 2016'!J33+'Sept 2016'!J33+'Oct. 2016'!J33+'Nov. 2016'!J33+'Dec. 2016'!J33+'Jan. 2017'!J33+'Feb. 2017'!J33+'March 2017'!J33+'April 2017'!J33+'May 2017'!J33+'June 2017'!J33)</f>
        <v>4156</v>
      </c>
      <c r="K33" s="29">
        <f>SUM('July 2016'!K33+'Aug 2016'!K33+'Sept 2016'!K33+'Oct. 2016'!K33+'Nov. 2016'!K33+'Dec. 2016'!K33+'Jan. 2017'!K33+'Feb. 2017'!K33+'March 2017'!K33+'April 2017'!K33+'May 2017'!K33+'June 2017'!K33)</f>
        <v>1868</v>
      </c>
      <c r="L33" s="51">
        <f t="shared" si="2"/>
        <v>24146</v>
      </c>
    </row>
    <row r="34" spans="1:12" x14ac:dyDescent="0.2">
      <c r="B34" s="60" t="s">
        <v>108</v>
      </c>
      <c r="C34" s="29">
        <f>SUM('July 2016'!C34+'Aug 2016'!C34+'Sept 2016'!C34+'Oct. 2016'!C34+'Nov. 2016'!C34+'Dec. 2016'!C34+'Jan. 2017'!C34+'Feb. 2017'!C34+'March 2017'!C34+'April 2017'!C34+'May 2017'!C34+'June 2017'!C34)</f>
        <v>1010</v>
      </c>
      <c r="D34" s="29">
        <f>SUM('July 2016'!D34+'Aug 2016'!D34+'Sept 2016'!D34+'Oct. 2016'!D34+'Nov. 2016'!D34+'Dec. 2016'!D34+'Jan. 2017'!D34+'Feb. 2017'!D34+'March 2017'!D34+'April 2017'!D34+'May 2017'!D34+'June 2017'!D34)</f>
        <v>748</v>
      </c>
      <c r="E34" s="29">
        <f>SUM('July 2016'!E34+'Aug 2016'!E34+'Sept 2016'!E34+'Oct. 2016'!E34+'Nov. 2016'!E34+'Dec. 2016'!E34+'Jan. 2017'!E34+'Feb. 2017'!E34+'March 2017'!E34+'April 2017'!E34+'May 2017'!E34+'June 2017'!E34)</f>
        <v>575</v>
      </c>
      <c r="F34" s="29">
        <f>SUM('July 2016'!F34+'Aug 2016'!F34+'Sept 2016'!F34+'Oct. 2016'!F34+'Nov. 2016'!F34+'Dec. 2016'!F34+'Jan. 2017'!F34+'Feb. 2017'!F34+'March 2017'!F34+'April 2017'!F34+'May 2017'!F34+'June 2017'!F34)</f>
        <v>696</v>
      </c>
      <c r="G34" s="29">
        <f>SUM('July 2016'!G34+'Aug 2016'!G34+'Sept 2016'!G34+'Oct. 2016'!G34+'Nov. 2016'!G34+'Dec. 2016'!G34+'Jan. 2017'!G34+'Feb. 2017'!G34+'March 2017'!G34+'April 2017'!G34+'May 2017'!G34+'June 2017'!G34)</f>
        <v>698</v>
      </c>
      <c r="H34" s="29">
        <f>SUM('July 2016'!H34+'Aug 2016'!H34+'Sept 2016'!H34+'Oct. 2016'!H34+'Nov. 2016'!H34+'Dec. 2016'!H34+'Jan. 2017'!H34+'Feb. 2017'!H34+'March 2017'!H34+'April 2017'!H34+'May 2017'!H34+'June 2017'!H34)</f>
        <v>707</v>
      </c>
      <c r="I34" s="29">
        <f>SUM('July 2016'!I34+'Aug 2016'!I34+'Sept 2016'!I34+'Oct. 2016'!I34+'Nov. 2016'!I34+'Dec. 2016'!I34+'Jan. 2017'!I34+'Feb. 2017'!I34+'March 2017'!I34+'April 2017'!I34+'May 2017'!I34+'June 2017'!I34)</f>
        <v>216</v>
      </c>
      <c r="J34" s="29">
        <f>SUM('July 2016'!J34+'Aug 2016'!J34+'Sept 2016'!J34+'Oct. 2016'!J34+'Nov. 2016'!J34+'Dec. 2016'!J34+'Jan. 2017'!J34+'Feb. 2017'!J34+'March 2017'!J34+'April 2017'!J34+'May 2017'!J34+'June 2017'!J34)</f>
        <v>1059</v>
      </c>
      <c r="K34" s="29">
        <f>SUM('July 2016'!K34+'Aug 2016'!K34+'Sept 2016'!K34+'Oct. 2016'!K34+'Nov. 2016'!K34+'Dec. 2016'!K34+'Jan. 2017'!K34+'Feb. 2017'!K34+'March 2017'!K34+'April 2017'!K34+'May 2017'!K34+'June 2017'!K34)</f>
        <v>1029</v>
      </c>
      <c r="L34" s="51">
        <f t="shared" si="2"/>
        <v>6738</v>
      </c>
    </row>
    <row r="35" spans="1:12" ht="13.5" thickBot="1" x14ac:dyDescent="0.25">
      <c r="B35" s="119" t="s">
        <v>19</v>
      </c>
      <c r="C35" s="3">
        <f>SUM('July 2016'!C35+'Aug 2016'!C35+'Sept 2016'!C35+'Oct. 2016'!C35+'Nov. 2016'!C35+'Dec. 2016'!C35+'Jan. 2017'!C35+'Feb. 2017'!C35+'March 2017'!C35+'April 2017'!C35+'May 2017'!C35+'June 2017'!C35)</f>
        <v>222</v>
      </c>
      <c r="D35" s="3">
        <f>SUM('July 2016'!D35+'Aug 2016'!D35+'Sept 2016'!D35+'Oct. 2016'!D35+'Nov. 2016'!D35+'Dec. 2016'!D35+'Jan. 2017'!D35+'Feb. 2017'!D35+'March 2017'!D35+'April 2017'!D35+'May 2017'!D35+'June 2017'!D35)</f>
        <v>278</v>
      </c>
      <c r="E35" s="3">
        <f>SUM('July 2016'!E35+'Aug 2016'!E35+'Sept 2016'!E35+'Oct. 2016'!E35+'Nov. 2016'!E35+'Dec. 2016'!E35+'Jan. 2017'!E35+'Feb. 2017'!E35+'March 2017'!E35+'April 2017'!E35+'May 2017'!E35+'June 2017'!E35)</f>
        <v>748</v>
      </c>
      <c r="F35" s="3">
        <f>SUM('July 2016'!F35+'Aug 2016'!F35+'Sept 2016'!F35+'Oct. 2016'!F35+'Nov. 2016'!F35+'Dec. 2016'!F35+'Jan. 2017'!F35+'Feb. 2017'!F35+'March 2017'!F35+'April 2017'!F35+'May 2017'!F35+'June 2017'!F35)</f>
        <v>1072</v>
      </c>
      <c r="G35" s="3">
        <f>SUM('July 2016'!G35+'Aug 2016'!G35+'Sept 2016'!G35+'Oct. 2016'!G35+'Nov. 2016'!G35+'Dec. 2016'!G35+'Jan. 2017'!G35+'Feb. 2017'!G35+'March 2017'!G35+'April 2017'!G35+'May 2017'!G35+'June 2017'!G35)</f>
        <v>683</v>
      </c>
      <c r="H35" s="3">
        <f>SUM('July 2016'!H35+'Aug 2016'!H35+'Sept 2016'!H35+'Oct. 2016'!H35+'Nov. 2016'!H35+'Dec. 2016'!H35+'Jan. 2017'!H35+'Feb. 2017'!H35+'March 2017'!H35+'April 2017'!H35+'May 2017'!H35+'June 2017'!H35)</f>
        <v>224</v>
      </c>
      <c r="I35" s="3">
        <f>SUM('July 2016'!I35+'Aug 2016'!I35+'Sept 2016'!I35+'Oct. 2016'!I35+'Nov. 2016'!I35+'Dec. 2016'!I35+'Jan. 2017'!I35+'Feb. 2017'!I35+'March 2017'!I35+'April 2017'!I35+'May 2017'!I35+'June 2017'!I35)</f>
        <v>87</v>
      </c>
      <c r="J35" s="3">
        <f>SUM('July 2016'!J35+'Aug 2016'!J35+'Sept 2016'!J35+'Oct. 2016'!J35+'Nov. 2016'!J35+'Dec. 2016'!J35+'Jan. 2017'!J35+'Feb. 2017'!J35+'March 2017'!J35+'April 2017'!J35+'May 2017'!J35+'June 2017'!J35)</f>
        <v>1750</v>
      </c>
      <c r="K35" s="3">
        <f>SUM('July 2016'!K35+'Aug 2016'!K35+'Sept 2016'!K35+'Oct. 2016'!K35+'Nov. 2016'!K35+'Dec. 2016'!K35+'Jan. 2017'!K35+'Feb. 2017'!K35+'March 2017'!K35+'April 2017'!K35+'May 2017'!K35+'June 2017'!K35)</f>
        <v>410</v>
      </c>
      <c r="L35" s="3">
        <f t="shared" si="2"/>
        <v>5474</v>
      </c>
    </row>
    <row r="36" spans="1:12" ht="13.5" thickTop="1" x14ac:dyDescent="0.2">
      <c r="B36" s="58" t="s">
        <v>14</v>
      </c>
      <c r="C36" s="38">
        <f>SUM(C31:C35)</f>
        <v>4125</v>
      </c>
      <c r="D36" s="38">
        <f t="shared" ref="D36:K36" si="3">SUM(D31:D35)</f>
        <v>3648</v>
      </c>
      <c r="E36" s="38">
        <f t="shared" si="3"/>
        <v>9353</v>
      </c>
      <c r="F36" s="38">
        <f t="shared" si="3"/>
        <v>8496</v>
      </c>
      <c r="G36" s="38">
        <f t="shared" si="3"/>
        <v>6788</v>
      </c>
      <c r="H36" s="38">
        <f t="shared" si="3"/>
        <v>3586</v>
      </c>
      <c r="I36" s="38">
        <f t="shared" si="3"/>
        <v>512</v>
      </c>
      <c r="J36" s="38">
        <f t="shared" si="3"/>
        <v>9863</v>
      </c>
      <c r="K36" s="38">
        <f t="shared" si="3"/>
        <v>4149</v>
      </c>
      <c r="L36" s="51">
        <f t="shared" si="2"/>
        <v>50520</v>
      </c>
    </row>
    <row r="38" spans="1:12" x14ac:dyDescent="0.2">
      <c r="A38" s="137" t="s">
        <v>56</v>
      </c>
      <c r="B38" s="138"/>
      <c r="C38" s="33">
        <f>SUM('July 2016'!C38+'Aug 2016'!C38+'Sept 2016'!C38+'Oct. 2016'!C38+'Nov. 2016'!C38+'Dec. 2016'!C38+'Jan. 2017'!C38+'Feb. 2017'!C38+'March 2017'!C38+'April 2017'!C38+'May 2017'!C38+'June 2017'!C38)</f>
        <v>62</v>
      </c>
      <c r="D38" s="33">
        <f>SUM('July 2016'!D38+'Aug 2016'!D38+'Sept 2016'!D38+'Oct. 2016'!D38+'Nov. 2016'!D38+'Dec. 2016'!D38+'Jan. 2017'!D38+'Feb. 2017'!D38+'March 2017'!D38+'April 2017'!D38+'May 2017'!D38+'June 2017'!D38)</f>
        <v>30</v>
      </c>
      <c r="E38" s="33">
        <f>SUM('July 2016'!E38+'Aug 2016'!E38+'Sept 2016'!E38+'Oct. 2016'!E38+'Nov. 2016'!E38+'Dec. 2016'!E38+'Jan. 2017'!E38+'Feb. 2017'!E38+'March 2017'!E38+'April 2017'!E38+'May 2017'!E38+'June 2017'!E38)</f>
        <v>165</v>
      </c>
      <c r="F38" s="33">
        <f>SUM('July 2016'!F38+'Aug 2016'!F38+'Sept 2016'!F38+'Oct. 2016'!F38+'Nov. 2016'!F38+'Dec. 2016'!F38+'Jan. 2017'!F38+'Feb. 2017'!F38+'March 2017'!F38+'April 2017'!F38+'May 2017'!F38+'June 2017'!F38)</f>
        <v>122</v>
      </c>
      <c r="G38" s="33">
        <f>SUM('July 2016'!G38+'Aug 2016'!G38+'Sept 2016'!G38+'Oct. 2016'!G38+'Nov. 2016'!G38+'Dec. 2016'!G38+'Jan. 2017'!G38+'Feb. 2017'!G38+'March 2017'!G38+'April 2017'!G38+'May 2017'!G38+'June 2017'!G38)</f>
        <v>82</v>
      </c>
      <c r="H38" s="33">
        <f>SUM('July 2016'!H38+'Aug 2016'!H38+'Sept 2016'!H38+'Oct. 2016'!H38+'Nov. 2016'!H38+'Dec. 2016'!H38+'Jan. 2017'!H38+'Feb. 2017'!H38+'March 2017'!H38+'April 2017'!H38+'May 2017'!H38+'June 2017'!H38)</f>
        <v>0</v>
      </c>
      <c r="I38" s="33">
        <f>SUM('July 2016'!I38+'Aug 2016'!I38+'Sept 2016'!I38+'Oct. 2016'!I38+'Nov. 2016'!I38+'Dec. 2016'!I38+'Jan. 2017'!I38+'Feb. 2017'!I38+'March 2017'!I38+'April 2017'!I38+'May 2017'!I38+'June 2017'!I38)</f>
        <v>0</v>
      </c>
      <c r="J38" s="33">
        <f>SUM('July 2016'!J38+'Aug 2016'!J38+'Sept 2016'!J38+'Oct. 2016'!J38+'Nov. 2016'!J38+'Dec. 2016'!J38+'Jan. 2017'!J38+'Feb. 2017'!J38+'March 2017'!J38+'April 2017'!J38+'May 2017'!J38+'June 2017'!J38)</f>
        <v>243</v>
      </c>
      <c r="K38" s="33">
        <f>SUM('July 2016'!K38+'Aug 2016'!K38+'Sept 2016'!K38+'Oct. 2016'!K38+'Nov. 2016'!K38+'Dec. 2016'!K38+'Jan. 2017'!K38+'Feb. 2017'!K38+'March 2017'!K38+'April 2017'!K38+'May 2017'!K38+'June 2017'!K38)</f>
        <v>7</v>
      </c>
      <c r="L38" s="120">
        <f>SUM(C38:K38)</f>
        <v>711</v>
      </c>
    </row>
    <row r="39" spans="1:12" ht="13.5" thickBot="1" x14ac:dyDescent="0.25">
      <c r="A39" s="119" t="s">
        <v>148</v>
      </c>
      <c r="B39" s="10"/>
      <c r="C39" s="3">
        <f>SUM('July 2016'!C39+'Aug 2016'!C39+'Sept 2016'!C39+'Oct. 2016'!C39+'Nov. 2016'!C39+'Dec. 2016'!C39+'Jan. 2017'!C39+'Feb. 2017'!C39+'March 2017'!C39+'April 2017'!C39+'May 2017'!C39+'June 2017'!C39)</f>
        <v>0</v>
      </c>
      <c r="D39" s="3">
        <f>SUM('July 2016'!D39+'Aug 2016'!D39+'Sept 2016'!D39+'Oct. 2016'!D39+'Nov. 2016'!D39+'Dec. 2016'!D39+'Jan. 2017'!D39+'Feb. 2017'!D39+'March 2017'!D39+'April 2017'!D39+'May 2017'!D39+'June 2017'!D39)</f>
        <v>0</v>
      </c>
      <c r="E39" s="3">
        <f>SUM('July 2016'!E39+'Aug 2016'!E39+'Sept 2016'!E39+'Oct. 2016'!E39+'Nov. 2016'!E39+'Dec. 2016'!E39+'Jan. 2017'!E39+'Feb. 2017'!E39+'March 2017'!E39+'April 2017'!E39+'May 2017'!E39+'June 2017'!E39)</f>
        <v>0</v>
      </c>
      <c r="F39" s="3">
        <f>SUM('July 2016'!F39+'Aug 2016'!F39+'Sept 2016'!F39+'Oct. 2016'!F39+'Nov. 2016'!F39+'Dec. 2016'!F39+'Jan. 2017'!F39+'Feb. 2017'!F39+'March 2017'!F39+'April 2017'!F39+'May 2017'!F39+'June 2017'!F39)</f>
        <v>440</v>
      </c>
      <c r="G39" s="3">
        <f>SUM('July 2016'!G39+'Aug 2016'!G39+'Sept 2016'!G39+'Oct. 2016'!G39+'Nov. 2016'!G39+'Dec. 2016'!G39+'Jan. 2017'!G39+'Feb. 2017'!G39+'March 2017'!G39+'April 2017'!G39+'May 2017'!G39+'June 2017'!G39)</f>
        <v>3</v>
      </c>
      <c r="H39" s="3">
        <f>SUM('July 2016'!H39+'Aug 2016'!H39+'Sept 2016'!H39+'Oct. 2016'!H39+'Nov. 2016'!H39+'Dec. 2016'!H39+'Jan. 2017'!H39+'Feb. 2017'!H39+'March 2017'!H39+'April 2017'!H39+'May 2017'!H39+'June 2017'!H39)</f>
        <v>113</v>
      </c>
      <c r="I39" s="3">
        <f>SUM('July 2016'!I39+'Aug 2016'!I39+'Sept 2016'!I39+'Oct. 2016'!I39+'Nov. 2016'!I39+'Dec. 2016'!I39+'Jan. 2017'!I39+'Feb. 2017'!I39+'March 2017'!I39+'April 2017'!I39+'May 2017'!I39+'June 2017'!I39)</f>
        <v>0</v>
      </c>
      <c r="J39" s="3">
        <f>SUM('July 2016'!J39+'Aug 2016'!J39+'Sept 2016'!J39+'Oct. 2016'!J39+'Nov. 2016'!J39+'Dec. 2016'!J39+'Jan. 2017'!J39+'Feb. 2017'!J39+'March 2017'!J39+'April 2017'!J39+'May 2017'!J39+'June 2017'!J39)</f>
        <v>3270</v>
      </c>
      <c r="K39" s="3">
        <f>SUM('July 2016'!K39+'Aug 2016'!K39+'Sept 2016'!K39+'Oct. 2016'!K39+'Nov. 2016'!K39+'Dec. 2016'!K39+'Jan. 2017'!K39+'Feb. 2017'!K39+'March 2017'!K39+'April 2017'!K39+'May 2017'!K39+'June 2017'!K39)</f>
        <v>0</v>
      </c>
      <c r="L39" s="49">
        <f>SUM(C39:K39)</f>
        <v>3826</v>
      </c>
    </row>
    <row r="40" spans="1:12" ht="13.5" thickTop="1" x14ac:dyDescent="0.2">
      <c r="A40" s="60"/>
      <c r="B40" s="50" t="s">
        <v>7</v>
      </c>
      <c r="C40" s="29">
        <f>SUM(C38:C39)</f>
        <v>62</v>
      </c>
      <c r="D40" s="29">
        <f t="shared" ref="D40:L40" si="4">SUM(D38:D39)</f>
        <v>30</v>
      </c>
      <c r="E40" s="29">
        <f t="shared" si="4"/>
        <v>165</v>
      </c>
      <c r="F40" s="29">
        <f t="shared" si="4"/>
        <v>562</v>
      </c>
      <c r="G40" s="29">
        <f t="shared" si="4"/>
        <v>85</v>
      </c>
      <c r="H40" s="29">
        <f t="shared" si="4"/>
        <v>113</v>
      </c>
      <c r="I40" s="29">
        <f t="shared" si="4"/>
        <v>0</v>
      </c>
      <c r="J40" s="29">
        <f t="shared" si="4"/>
        <v>3513</v>
      </c>
      <c r="K40" s="29">
        <f t="shared" si="4"/>
        <v>7</v>
      </c>
      <c r="L40" s="29">
        <f t="shared" si="4"/>
        <v>4537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f>SUM('July 2016'!C42+'Aug 2016'!C42+'Sept 2016'!C42+'Oct. 2016'!C42+'Nov. 2016'!C42+'Dec. 2016'!C42+'Jan. 2017'!C42+'Feb. 2017'!C42+'March 2017'!C42+'April 2017'!C42+'May 2017'!C42+'June 2017'!C42)</f>
        <v>0</v>
      </c>
      <c r="D42" s="122">
        <f>SUM('July 2016'!D42+'Aug 2016'!D42+'Sept 2016'!D42+'Oct. 2016'!D42+'Nov. 2016'!D42+'Dec. 2016'!D42+'Jan. 2017'!D42+'Feb. 2017'!D42+'March 2017'!D42+'April 2017'!D42+'May 2017'!D42+'June 2017'!D42)</f>
        <v>0</v>
      </c>
      <c r="E42" s="122">
        <f>SUM('July 2016'!E42+'Aug 2016'!E42+'Sept 2016'!E42+'Oct. 2016'!E42+'Nov. 2016'!E42+'Dec. 2016'!E42+'Jan. 2017'!E42+'Feb. 2017'!E42+'March 2017'!E42+'April 2017'!E42+'May 2017'!E42+'June 2017'!E42)</f>
        <v>48</v>
      </c>
      <c r="F42" s="122">
        <f>SUM('July 2016'!F42+'Aug 2016'!F42+'Sept 2016'!F42+'Oct. 2016'!F42+'Nov. 2016'!F42+'Dec. 2016'!F42+'Jan. 2017'!F42+'Feb. 2017'!F42+'March 2017'!F42+'April 2017'!F42+'May 2017'!F42+'June 2017'!F42)</f>
        <v>195</v>
      </c>
      <c r="G42" s="122">
        <f>SUM('July 2016'!G42+'Aug 2016'!G42+'Sept 2016'!G42+'Oct. 2016'!G42+'Nov. 2016'!G42+'Dec. 2016'!G42+'Jan. 2017'!G42+'Feb. 2017'!G42+'March 2017'!G42+'April 2017'!G42+'May 2017'!G42+'June 2017'!G42)</f>
        <v>95</v>
      </c>
      <c r="H42" s="122">
        <f>SUM('July 2016'!H42+'Aug 2016'!H42+'Sept 2016'!H42+'Oct. 2016'!H42+'Nov. 2016'!H42+'Dec. 2016'!H42+'Jan. 2017'!H42+'Feb. 2017'!H42+'March 2017'!H42+'April 2017'!H42+'May 2017'!H42+'June 2017'!H42)</f>
        <v>0</v>
      </c>
      <c r="I42" s="122">
        <f>SUM('July 2016'!I42+'Aug 2016'!I42+'Sept 2016'!I42+'Oct. 2016'!I42+'Nov. 2016'!I42+'Dec. 2016'!I42+'Jan. 2017'!I42+'Feb. 2017'!I42+'March 2017'!I42+'April 2017'!I42+'May 2017'!I42+'June 2017'!I42)</f>
        <v>0</v>
      </c>
      <c r="J42" s="122">
        <f>SUM('July 2016'!J42+'Aug 2016'!J42+'Sept 2016'!J42+'Oct. 2016'!J42+'Nov. 2016'!J42+'Dec. 2016'!J42+'Jan. 2017'!J42+'Feb. 2017'!J42+'March 2017'!J42+'April 2017'!J42+'May 2017'!J42+'June 2017'!J42)</f>
        <v>514</v>
      </c>
      <c r="K42" s="122">
        <f>SUM('July 2016'!K42+'Aug 2016'!K42+'Sept 2016'!K42+'Oct. 2016'!K42+'Nov. 2016'!K42+'Dec. 2016'!K42+'Jan. 2017'!K42+'Feb. 2017'!K42+'March 2017'!K42+'April 2017'!K42+'May 2017'!K42+'June 2017'!K42)</f>
        <v>1</v>
      </c>
      <c r="L42" s="124">
        <f>SUM(C42:K42)</f>
        <v>853</v>
      </c>
    </row>
    <row r="43" spans="1:12" x14ac:dyDescent="0.2">
      <c r="A43" s="29"/>
    </row>
    <row r="44" spans="1:12" x14ac:dyDescent="0.2">
      <c r="A44" s="137" t="s">
        <v>357</v>
      </c>
      <c r="B44" s="142"/>
      <c r="C44" s="93">
        <f>SUM('July 2016'!C44+'Aug 2016'!C44+'Sept 2016'!C44+'Oct. 2016'!C44+'Nov. 2016'!C44+'Dec. 2016'!C44+'Jan. 2017'!C44+'Feb. 2017'!C44+'March 2017'!C44+'April 2017'!C44+'May 2017'!C44+'June 2017'!C44)</f>
        <v>0</v>
      </c>
      <c r="D44" s="93">
        <f>SUM('July 2016'!D44+'Aug 2016'!D44+'Sept 2016'!D44+'Oct. 2016'!D44+'Nov. 2016'!D44+'Dec. 2016'!D44+'Jan. 2017'!D44+'Feb. 2017'!D44+'March 2017'!D44+'April 2017'!D44+'May 2017'!D44+'June 2017'!D44)</f>
        <v>0</v>
      </c>
      <c r="E44" s="93">
        <f>SUM('July 2016'!E44+'Aug 2016'!E44+'Sept 2016'!E44+'Oct. 2016'!E44+'Nov. 2016'!E44+'Dec. 2016'!E44+'Jan. 2017'!E44+'Feb. 2017'!E44+'March 2017'!E44+'April 2017'!E44+'May 2017'!E44+'June 2017'!E44)</f>
        <v>6</v>
      </c>
      <c r="F44" s="93">
        <f>SUM('July 2016'!F44+'Aug 2016'!F44+'Sept 2016'!F44+'Oct. 2016'!F44+'Nov. 2016'!F44+'Dec. 2016'!F44+'Jan. 2017'!F44+'Feb. 2017'!F44+'March 2017'!F44+'April 2017'!F44+'May 2017'!F44+'June 2017'!F44)</f>
        <v>3</v>
      </c>
      <c r="G44" s="93">
        <f>SUM('July 2016'!G44+'Aug 2016'!G44+'Sept 2016'!G44+'Oct. 2016'!G44+'Nov. 2016'!G44+'Dec. 2016'!G44+'Jan. 2017'!G44+'Feb. 2017'!G44+'March 2017'!G44+'April 2017'!G44+'May 2017'!G44+'June 2017'!G44)</f>
        <v>2</v>
      </c>
      <c r="H44" s="93">
        <f>SUM('July 2016'!H44+'Aug 2016'!H44+'Sept 2016'!H44+'Oct. 2016'!H44+'Nov. 2016'!H44+'Dec. 2016'!H44+'Jan. 2017'!H44+'Feb. 2017'!H44+'March 2017'!H44+'April 2017'!H44+'May 2017'!H44+'June 2017'!H44)</f>
        <v>0</v>
      </c>
      <c r="I44" s="93">
        <f>SUM('July 2016'!I44+'Aug 2016'!I44+'Sept 2016'!I44+'Oct. 2016'!I44+'Nov. 2016'!I44+'Dec. 2016'!I44+'Jan. 2017'!I44+'Feb. 2017'!I44+'March 2017'!I44+'April 2017'!I44+'May 2017'!I44+'June 2017'!I44)</f>
        <v>0</v>
      </c>
      <c r="J44" s="93">
        <f>SUM('July 2016'!J44+'Aug 2016'!J44+'Sept 2016'!J44+'Oct. 2016'!J44+'Nov. 2016'!J44+'Dec. 2016'!J44+'Jan. 2017'!J44+'Feb. 2017'!J44+'March 2017'!J44+'April 2017'!J44+'May 2017'!J44+'June 2017'!J44)</f>
        <v>20</v>
      </c>
      <c r="K44" s="93">
        <f>SUM('July 2016'!K44+'Aug 2016'!K44+'Sept 2016'!K44+'Oct. 2016'!K44+'Nov. 2016'!K44+'Dec. 2016'!K44+'Jan. 2017'!K44+'Feb. 2017'!K44+'March 2017'!K44+'April 2017'!K44+'May 2017'!K44+'June 2017'!K44)</f>
        <v>0</v>
      </c>
      <c r="L44" s="34">
        <f>SUM(C44:K44)</f>
        <v>31</v>
      </c>
    </row>
    <row r="45" spans="1:12" x14ac:dyDescent="0.2">
      <c r="A45" s="58" t="s">
        <v>21</v>
      </c>
      <c r="B45" s="55"/>
      <c r="C45" s="52">
        <f>SUM('July 2016'!C45+'Aug 2016'!C45+'Sept 2016'!C45+'Oct. 2016'!C45+'Nov. 2016'!C45+'Dec. 2016'!C45+'Jan. 2017'!C45+'Feb. 2017'!C45+'March 2017'!C45+'April 2017'!C45+'May 2017'!C45+'June 2017'!C45)</f>
        <v>0</v>
      </c>
      <c r="D45" s="52">
        <f>SUM('July 2016'!D45+'Aug 2016'!D45+'Sept 2016'!D45+'Oct. 2016'!D45+'Nov. 2016'!D45+'Dec. 2016'!D45+'Jan. 2017'!D45+'Feb. 2017'!D45+'March 2017'!D45+'April 2017'!D45+'May 2017'!D45+'June 2017'!D45)</f>
        <v>0</v>
      </c>
      <c r="E45" s="52">
        <f>SUM('July 2016'!E45+'Aug 2016'!E45+'Sept 2016'!E45+'Oct. 2016'!E45+'Nov. 2016'!E45+'Dec. 2016'!E45+'Jan. 2017'!E45+'Feb. 2017'!E45+'March 2017'!E45+'April 2017'!E45+'May 2017'!E45+'June 2017'!E45)</f>
        <v>94</v>
      </c>
      <c r="F45" s="52">
        <f>SUM('July 2016'!F45+'Aug 2016'!F45+'Sept 2016'!F45+'Oct. 2016'!F45+'Nov. 2016'!F45+'Dec. 2016'!F45+'Jan. 2017'!F45+'Feb. 2017'!F45+'March 2017'!F45+'April 2017'!F45+'May 2017'!F45+'June 2017'!F45)</f>
        <v>48</v>
      </c>
      <c r="G45" s="52">
        <f>SUM('July 2016'!G45+'Aug 2016'!G45+'Sept 2016'!G45+'Oct. 2016'!G45+'Nov. 2016'!G45+'Dec. 2016'!G45+'Jan. 2017'!G45+'Feb. 2017'!G45+'March 2017'!G45+'April 2017'!G45+'May 2017'!G45+'June 2017'!G45)</f>
        <v>29</v>
      </c>
      <c r="H45" s="52">
        <f>SUM('July 2016'!H45+'Aug 2016'!H45+'Sept 2016'!H45+'Oct. 2016'!H45+'Nov. 2016'!H45+'Dec. 2016'!H45+'Jan. 2017'!H45+'Feb. 2017'!H45+'March 2017'!H45+'April 2017'!H45+'May 2017'!H45+'June 2017'!H45)</f>
        <v>0</v>
      </c>
      <c r="I45" s="52">
        <f>SUM('July 2016'!I45+'Aug 2016'!I45+'Sept 2016'!I45+'Oct. 2016'!I45+'Nov. 2016'!I45+'Dec. 2016'!I45+'Jan. 2017'!I45+'Feb. 2017'!I45+'March 2017'!I45+'April 2017'!I45+'May 2017'!I45+'June 2017'!I45)</f>
        <v>0</v>
      </c>
      <c r="J45" s="52">
        <f>SUM('July 2016'!J45+'Aug 2016'!J45+'Sept 2016'!J45+'Oct. 2016'!J45+'Nov. 2016'!J45+'Dec. 2016'!J45+'Jan. 2017'!J45+'Feb. 2017'!J45+'March 2017'!J45+'April 2017'!J45+'May 2017'!J45+'June 2017'!J45)</f>
        <v>342</v>
      </c>
      <c r="K45" s="52">
        <f>SUM('July 2016'!K45+'Aug 2016'!K45+'Sept 2016'!K45+'Oct. 2016'!K45+'Nov. 2016'!K45+'Dec. 2016'!K45+'Jan. 2017'!K45+'Feb. 2017'!K45+'March 2017'!K45+'April 2017'!K45+'May 2017'!K45+'June 2017'!K45)</f>
        <v>0</v>
      </c>
      <c r="L45" s="39">
        <f>SUM(C45:K45)</f>
        <v>513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>
        <f>SUM('July 2016'!C49+'Aug 2016'!C49+'Sept 2016'!C49+'Oct. 2016'!C49+'Nov. 2016'!C49+'Dec. 2016'!C49+'Jan. 2017'!C49+'Feb. 2017'!C49+'March 2017'!C49+'April 2017'!C49+'May 2017'!C49+'June 2017'!C49)</f>
        <v>17</v>
      </c>
      <c r="D49" s="122">
        <f>SUM('July 2016'!D49+'Aug 2016'!D49+'Sept 2016'!D49+'Oct. 2016'!D49+'Nov. 2016'!D49+'Dec. 2016'!D49+'Jan. 2017'!D49+'Feb. 2017'!D49+'March 2017'!D49+'April 2017'!D49+'May 2017'!D49+'June 2017'!D49)</f>
        <v>17</v>
      </c>
      <c r="E49" s="122">
        <f>SUM('July 2016'!E49+'Aug 2016'!E49+'Sept 2016'!E49+'Oct. 2016'!E49+'Nov. 2016'!E49+'Dec. 2016'!E49+'Jan. 2017'!E49+'Feb. 2017'!E49+'March 2017'!E49+'April 2017'!E49+'May 2017'!E49+'June 2017'!E49)</f>
        <v>22</v>
      </c>
      <c r="F49" s="122">
        <f>SUM('July 2016'!F49+'Aug 2016'!F49+'Sept 2016'!F49+'Oct. 2016'!F49+'Nov. 2016'!F49+'Dec. 2016'!F49+'Jan. 2017'!F49+'Feb. 2017'!F49+'March 2017'!F49+'April 2017'!F49+'May 2017'!F49+'June 2017'!F49)</f>
        <v>35</v>
      </c>
      <c r="G49" s="122">
        <f>SUM('July 2016'!G49+'Aug 2016'!G49+'Sept 2016'!G49+'Oct. 2016'!G49+'Nov. 2016'!G49+'Dec. 2016'!G49+'Jan. 2017'!G49+'Feb. 2017'!G49+'March 2017'!G49+'April 2017'!G49+'May 2017'!G49+'June 2017'!G49)</f>
        <v>36</v>
      </c>
      <c r="H49" s="122">
        <f>SUM('July 2016'!H49+'Aug 2016'!H49+'Sept 2016'!H49+'Oct. 2016'!H49+'Nov. 2016'!H49+'Dec. 2016'!H49+'Jan. 2017'!H49+'Feb. 2017'!H49+'March 2017'!H49+'April 2017'!H49+'May 2017'!H49+'June 2017'!H49)</f>
        <v>17</v>
      </c>
      <c r="I49" s="122">
        <f>SUM('July 2016'!I49+'Aug 2016'!I49+'Sept 2016'!I49+'Oct. 2016'!I49+'Nov. 2016'!I49+'Dec. 2016'!I49+'Jan. 2017'!I49+'Feb. 2017'!I49+'March 2017'!I49+'April 2017'!I49+'May 2017'!I49+'June 2017'!I49)</f>
        <v>12</v>
      </c>
      <c r="J49" s="122">
        <f>SUM('July 2016'!J49+'Aug 2016'!J49+'Sept 2016'!J49+'Oct. 2016'!J49+'Nov. 2016'!J49+'Dec. 2016'!J49+'Jan. 2017'!J49+'Feb. 2017'!J49+'March 2017'!J49+'April 2017'!J49+'May 2017'!J49+'June 2017'!J49)</f>
        <v>184</v>
      </c>
      <c r="K49" s="122">
        <f>SUM('July 2016'!K49+'Aug 2016'!K49+'Sept 2016'!K49+'Oct. 2016'!K49+'Nov. 2016'!K49+'Dec. 2016'!K49+'Jan. 2017'!K49+'Feb. 2017'!K49+'March 2017'!K49+'April 2017'!K49+'May 2017'!K49+'June 2017'!K49)</f>
        <v>14</v>
      </c>
      <c r="L49" s="130">
        <f t="shared" ref="L49:L75" si="5">SUM(C49:K49)</f>
        <v>354</v>
      </c>
    </row>
    <row r="50" spans="2:12" x14ac:dyDescent="0.2">
      <c r="B50" s="100" t="s">
        <v>113</v>
      </c>
      <c r="C50" s="122">
        <f>SUM('July 2016'!C50+'Aug 2016'!C50+'Sept 2016'!C50+'Oct. 2016'!C50+'Nov. 2016'!C50+'Dec. 2016'!C50+'Jan. 2017'!C50+'Feb. 2017'!C50+'March 2017'!C50+'April 2017'!C50+'May 2017'!C50+'June 2017'!C50)</f>
        <v>10</v>
      </c>
      <c r="D50" s="122">
        <f>SUM('July 2016'!D50+'Aug 2016'!D50+'Sept 2016'!D50+'Oct. 2016'!D50+'Nov. 2016'!D50+'Dec. 2016'!D50+'Jan. 2017'!D50+'Feb. 2017'!D50+'March 2017'!D50+'April 2017'!D50+'May 2017'!D50+'June 2017'!D50)</f>
        <v>0</v>
      </c>
      <c r="E50" s="122">
        <f>SUM('July 2016'!E50+'Aug 2016'!E50+'Sept 2016'!E50+'Oct. 2016'!E50+'Nov. 2016'!E50+'Dec. 2016'!E50+'Jan. 2017'!E50+'Feb. 2017'!E50+'March 2017'!E50+'April 2017'!E50+'May 2017'!E50+'June 2017'!E50)</f>
        <v>5</v>
      </c>
      <c r="F50" s="122">
        <f>SUM('July 2016'!F50+'Aug 2016'!F50+'Sept 2016'!F50+'Oct. 2016'!F50+'Nov. 2016'!F50+'Dec. 2016'!F50+'Jan. 2017'!F50+'Feb. 2017'!F50+'March 2017'!F50+'April 2017'!F50+'May 2017'!F50+'June 2017'!F50)</f>
        <v>17</v>
      </c>
      <c r="G50" s="122">
        <f>SUM('July 2016'!G50+'Aug 2016'!G50+'Sept 2016'!G50+'Oct. 2016'!G50+'Nov. 2016'!G50+'Dec. 2016'!G50+'Jan. 2017'!G50+'Feb. 2017'!G50+'March 2017'!G50+'April 2017'!G50+'May 2017'!G50+'June 2017'!G50)</f>
        <v>13</v>
      </c>
      <c r="H50" s="122">
        <f>SUM('July 2016'!H50+'Aug 2016'!H50+'Sept 2016'!H50+'Oct. 2016'!H50+'Nov. 2016'!H50+'Dec. 2016'!H50+'Jan. 2017'!H50+'Feb. 2017'!H50+'March 2017'!H50+'April 2017'!H50+'May 2017'!H50+'June 2017'!H50)</f>
        <v>0</v>
      </c>
      <c r="I50" s="122">
        <f>SUM('July 2016'!I50+'Aug 2016'!I50+'Sept 2016'!I50+'Oct. 2016'!I50+'Nov. 2016'!I50+'Dec. 2016'!I50+'Jan. 2017'!I50+'Feb. 2017'!I50+'March 2017'!I50+'April 2017'!I50+'May 2017'!I50+'June 2017'!I50)</f>
        <v>0</v>
      </c>
      <c r="J50" s="122">
        <f>SUM('July 2016'!J50+'Aug 2016'!J50+'Sept 2016'!J50+'Oct. 2016'!J50+'Nov. 2016'!J50+'Dec. 2016'!J50+'Jan. 2017'!J50+'Feb. 2017'!J50+'March 2017'!J50+'April 2017'!J50+'May 2017'!J50+'June 2017'!J50)</f>
        <v>33</v>
      </c>
      <c r="K50" s="122">
        <f>SUM('July 2016'!K50+'Aug 2016'!K50+'Sept 2016'!K50+'Oct. 2016'!K50+'Nov. 2016'!K50+'Dec. 2016'!K50+'Jan. 2017'!K50+'Feb. 2017'!K50+'March 2017'!K50+'April 2017'!K50+'May 2017'!K50+'June 2017'!K50)</f>
        <v>4</v>
      </c>
      <c r="L50" s="130">
        <f t="shared" si="5"/>
        <v>82</v>
      </c>
    </row>
    <row r="51" spans="2:12" x14ac:dyDescent="0.2">
      <c r="B51" s="100" t="s">
        <v>103</v>
      </c>
      <c r="C51" s="122">
        <f>SUM('July 2016'!C51+'Aug 2016'!C51+'Sept 2016'!C51+'Oct. 2016'!C51+'Nov. 2016'!C51+'Dec. 2016'!C51+'Jan. 2017'!C51+'Feb. 2017'!C51+'March 2017'!C51+'April 2017'!C51+'May 2017'!C51+'June 2017'!C51)</f>
        <v>9</v>
      </c>
      <c r="D51" s="122">
        <f>SUM('July 2016'!D51+'Aug 2016'!D51+'Sept 2016'!D51+'Oct. 2016'!D51+'Nov. 2016'!D51+'Dec. 2016'!D51+'Jan. 2017'!D51+'Feb. 2017'!D51+'March 2017'!D51+'April 2017'!D51+'May 2017'!D51+'June 2017'!D51)</f>
        <v>1</v>
      </c>
      <c r="E51" s="122">
        <f>SUM('July 2016'!E51+'Aug 2016'!E51+'Sept 2016'!E51+'Oct. 2016'!E51+'Nov. 2016'!E51+'Dec. 2016'!E51+'Jan. 2017'!E51+'Feb. 2017'!E51+'March 2017'!E51+'April 2017'!E51+'May 2017'!E51+'June 2017'!E51)</f>
        <v>40</v>
      </c>
      <c r="F51" s="122">
        <f>SUM('July 2016'!F51+'Aug 2016'!F51+'Sept 2016'!F51+'Oct. 2016'!F51+'Nov. 2016'!F51+'Dec. 2016'!F51+'Jan. 2017'!F51+'Feb. 2017'!F51+'March 2017'!F51+'April 2017'!F51+'May 2017'!F51+'June 2017'!F51)</f>
        <v>89</v>
      </c>
      <c r="G51" s="122">
        <f>SUM('July 2016'!G51+'Aug 2016'!G51+'Sept 2016'!G51+'Oct. 2016'!G51+'Nov. 2016'!G51+'Dec. 2016'!G51+'Jan. 2017'!G51+'Feb. 2017'!G51+'March 2017'!G51+'April 2017'!G51+'May 2017'!G51+'June 2017'!G51)</f>
        <v>4</v>
      </c>
      <c r="H51" s="122">
        <f>SUM('July 2016'!H51+'Aug 2016'!H51+'Sept 2016'!H51+'Oct. 2016'!H51+'Nov. 2016'!H51+'Dec. 2016'!H51+'Jan. 2017'!H51+'Feb. 2017'!H51+'March 2017'!H51+'April 2017'!H51+'May 2017'!H51+'June 2017'!H51)</f>
        <v>3</v>
      </c>
      <c r="I51" s="122">
        <f>SUM('July 2016'!I51+'Aug 2016'!I51+'Sept 2016'!I51+'Oct. 2016'!I51+'Nov. 2016'!I51+'Dec. 2016'!I51+'Jan. 2017'!I51+'Feb. 2017'!I51+'March 2017'!I51+'April 2017'!I51+'May 2017'!I51+'June 2017'!I51)</f>
        <v>0</v>
      </c>
      <c r="J51" s="122">
        <f>SUM('July 2016'!J51+'Aug 2016'!J51+'Sept 2016'!J51+'Oct. 2016'!J51+'Nov. 2016'!J51+'Dec. 2016'!J51+'Jan. 2017'!J51+'Feb. 2017'!J51+'March 2017'!J51+'April 2017'!J51+'May 2017'!J51+'June 2017'!J51)</f>
        <v>89</v>
      </c>
      <c r="K51" s="122">
        <f>SUM('July 2016'!K51+'Aug 2016'!K51+'Sept 2016'!K51+'Oct. 2016'!K51+'Nov. 2016'!K51+'Dec. 2016'!K51+'Jan. 2017'!K51+'Feb. 2017'!K51+'March 2017'!K51+'April 2017'!K51+'May 2017'!K51+'June 2017'!K51)</f>
        <v>2</v>
      </c>
      <c r="L51" s="130">
        <f t="shared" si="5"/>
        <v>237</v>
      </c>
    </row>
    <row r="52" spans="2:12" x14ac:dyDescent="0.2">
      <c r="B52" s="100" t="s">
        <v>137</v>
      </c>
      <c r="C52" s="122">
        <f>SUM('July 2016'!C52+'Aug 2016'!C52+'Sept 2016'!C52+'Oct. 2016'!C52+'Nov. 2016'!C52+'Dec. 2016'!C52+'Jan. 2017'!C52+'Feb. 2017'!C52+'March 2017'!C52+'April 2017'!C52+'May 2017'!C52+'June 2017'!C52)</f>
        <v>1</v>
      </c>
      <c r="D52" s="122">
        <f>SUM('July 2016'!D52+'Aug 2016'!D52+'Sept 2016'!D52+'Oct. 2016'!D52+'Nov. 2016'!D52+'Dec. 2016'!D52+'Jan. 2017'!D52+'Feb. 2017'!D52+'March 2017'!D52+'April 2017'!D52+'May 2017'!D52+'June 2017'!D52)</f>
        <v>26</v>
      </c>
      <c r="E52" s="122">
        <f>SUM('July 2016'!E52+'Aug 2016'!E52+'Sept 2016'!E52+'Oct. 2016'!E52+'Nov. 2016'!E52+'Dec. 2016'!E52+'Jan. 2017'!E52+'Feb. 2017'!E52+'March 2017'!E52+'April 2017'!E52+'May 2017'!E52+'June 2017'!E52)</f>
        <v>3</v>
      </c>
      <c r="F52" s="122">
        <f>SUM('July 2016'!F52+'Aug 2016'!F52+'Sept 2016'!F52+'Oct. 2016'!F52+'Nov. 2016'!F52+'Dec. 2016'!F52+'Jan. 2017'!F52+'Feb. 2017'!F52+'March 2017'!F52+'April 2017'!F52+'May 2017'!F52+'June 2017'!F52)</f>
        <v>11</v>
      </c>
      <c r="G52" s="122">
        <f>SUM('July 2016'!G52+'Aug 2016'!G52+'Sept 2016'!G52+'Oct. 2016'!G52+'Nov. 2016'!G52+'Dec. 2016'!G52+'Jan. 2017'!G52+'Feb. 2017'!G52+'March 2017'!G52+'April 2017'!G52+'May 2017'!G52+'June 2017'!G52)</f>
        <v>21</v>
      </c>
      <c r="H52" s="122">
        <f>SUM('July 2016'!H52+'Aug 2016'!H52+'Sept 2016'!H52+'Oct. 2016'!H52+'Nov. 2016'!H52+'Dec. 2016'!H52+'Jan. 2017'!H52+'Feb. 2017'!H52+'March 2017'!H52+'April 2017'!H52+'May 2017'!H52+'June 2017'!H52)</f>
        <v>0</v>
      </c>
      <c r="I52" s="122">
        <f>SUM('July 2016'!I52+'Aug 2016'!I52+'Sept 2016'!I52+'Oct. 2016'!I52+'Nov. 2016'!I52+'Dec. 2016'!I52+'Jan. 2017'!I52+'Feb. 2017'!I52+'March 2017'!I52+'April 2017'!I52+'May 2017'!I52+'June 2017'!I52)</f>
        <v>0</v>
      </c>
      <c r="J52" s="122">
        <f>SUM('July 2016'!J52+'Aug 2016'!J52+'Sept 2016'!J52+'Oct. 2016'!J52+'Nov. 2016'!J52+'Dec. 2016'!J52+'Jan. 2017'!J52+'Feb. 2017'!J52+'March 2017'!J52+'April 2017'!J52+'May 2017'!J52+'June 2017'!J52)</f>
        <v>18</v>
      </c>
      <c r="K52" s="122">
        <f>SUM('July 2016'!K52+'Aug 2016'!K52+'Sept 2016'!K52+'Oct. 2016'!K52+'Nov. 2016'!K52+'Dec. 2016'!K52+'Jan. 2017'!K52+'Feb. 2017'!K52+'March 2017'!K52+'April 2017'!K52+'May 2017'!K52+'June 2017'!K52)</f>
        <v>42</v>
      </c>
      <c r="L52" s="130">
        <f t="shared" si="5"/>
        <v>122</v>
      </c>
    </row>
    <row r="53" spans="2:12" x14ac:dyDescent="0.2">
      <c r="B53" s="100" t="s">
        <v>149</v>
      </c>
      <c r="C53" s="122">
        <f>SUM('July 2016'!C53+'Aug 2016'!C53+'Sept 2016'!C53+'Oct. 2016'!C53+'Nov. 2016'!C53+'Dec. 2016'!C53+'Jan. 2017'!C53+'Feb. 2017'!C53+'March 2017'!C53+'April 2017'!C53+'May 2017'!C53+'June 2017'!C53)</f>
        <v>17</v>
      </c>
      <c r="D53" s="122">
        <f>SUM('July 2016'!D53+'Aug 2016'!D53+'Sept 2016'!D53+'Oct. 2016'!D53+'Nov. 2016'!D53+'Dec. 2016'!D53+'Jan. 2017'!D53+'Feb. 2017'!D53+'March 2017'!D53+'April 2017'!D53+'May 2017'!D53+'June 2017'!D53)</f>
        <v>10</v>
      </c>
      <c r="E53" s="122">
        <f>SUM('July 2016'!E53+'Aug 2016'!E53+'Sept 2016'!E53+'Oct. 2016'!E53+'Nov. 2016'!E53+'Dec. 2016'!E53+'Jan. 2017'!E53+'Feb. 2017'!E53+'March 2017'!E53+'April 2017'!E53+'May 2017'!E53+'June 2017'!E53)</f>
        <v>12</v>
      </c>
      <c r="F53" s="122">
        <f>SUM('July 2016'!F53+'Aug 2016'!F53+'Sept 2016'!F53+'Oct. 2016'!F53+'Nov. 2016'!F53+'Dec. 2016'!F53+'Jan. 2017'!F53+'Feb. 2017'!F53+'March 2017'!F53+'April 2017'!F53+'May 2017'!F53+'June 2017'!F53)</f>
        <v>15</v>
      </c>
      <c r="G53" s="122">
        <f>SUM('July 2016'!G53+'Aug 2016'!G53+'Sept 2016'!G53+'Oct. 2016'!G53+'Nov. 2016'!G53+'Dec. 2016'!G53+'Jan. 2017'!G53+'Feb. 2017'!G53+'March 2017'!G53+'April 2017'!G53+'May 2017'!G53+'June 2017'!G53)</f>
        <v>30</v>
      </c>
      <c r="H53" s="122">
        <f>SUM('July 2016'!H53+'Aug 2016'!H53+'Sept 2016'!H53+'Oct. 2016'!H53+'Nov. 2016'!H53+'Dec. 2016'!H53+'Jan. 2017'!H53+'Feb. 2017'!H53+'March 2017'!H53+'April 2017'!H53+'May 2017'!H53+'June 2017'!H53)</f>
        <v>15</v>
      </c>
      <c r="I53" s="122">
        <f>SUM('July 2016'!I53+'Aug 2016'!I53+'Sept 2016'!I53+'Oct. 2016'!I53+'Nov. 2016'!I53+'Dec. 2016'!I53+'Jan. 2017'!I53+'Feb. 2017'!I53+'March 2017'!I53+'April 2017'!I53+'May 2017'!I53+'June 2017'!I53)</f>
        <v>11</v>
      </c>
      <c r="J53" s="122">
        <f>SUM('July 2016'!J53+'Aug 2016'!J53+'Sept 2016'!J53+'Oct. 2016'!J53+'Nov. 2016'!J53+'Dec. 2016'!J53+'Jan. 2017'!J53+'Feb. 2017'!J53+'March 2017'!J53+'April 2017'!J53+'May 2017'!J53+'June 2017'!J53)</f>
        <v>80</v>
      </c>
      <c r="K53" s="122">
        <f>SUM('July 2016'!K53+'Aug 2016'!K53+'Sept 2016'!K53+'Oct. 2016'!K53+'Nov. 2016'!K53+'Dec. 2016'!K53+'Jan. 2017'!K53+'Feb. 2017'!K53+'March 2017'!K53+'April 2017'!K53+'May 2017'!K53+'June 2017'!K53)</f>
        <v>46</v>
      </c>
      <c r="L53" s="130">
        <f t="shared" si="5"/>
        <v>236</v>
      </c>
    </row>
    <row r="54" spans="2:12" x14ac:dyDescent="0.2">
      <c r="B54" s="100" t="s">
        <v>104</v>
      </c>
      <c r="C54" s="122">
        <f>SUM('July 2016'!C54+'Aug 2016'!C54+'Sept 2016'!C54+'Oct. 2016'!C54+'Nov. 2016'!C54+'Dec. 2016'!C54+'Jan. 2017'!C54+'Feb. 2017'!C54+'March 2017'!C54+'April 2017'!C54+'May 2017'!C54+'June 2017'!C54)</f>
        <v>2</v>
      </c>
      <c r="D54" s="122">
        <f>SUM('July 2016'!D54+'Aug 2016'!D54+'Sept 2016'!D54+'Oct. 2016'!D54+'Nov. 2016'!D54+'Dec. 2016'!D54+'Jan. 2017'!D54+'Feb. 2017'!D54+'March 2017'!D54+'April 2017'!D54+'May 2017'!D54+'June 2017'!D54)</f>
        <v>0</v>
      </c>
      <c r="E54" s="122">
        <f>SUM('July 2016'!E54+'Aug 2016'!E54+'Sept 2016'!E54+'Oct. 2016'!E54+'Nov. 2016'!E54+'Dec. 2016'!E54+'Jan. 2017'!E54+'Feb. 2017'!E54+'March 2017'!E54+'April 2017'!E54+'May 2017'!E54+'June 2017'!E54)</f>
        <v>14</v>
      </c>
      <c r="F54" s="122">
        <f>SUM('July 2016'!F54+'Aug 2016'!F54+'Sept 2016'!F54+'Oct. 2016'!F54+'Nov. 2016'!F54+'Dec. 2016'!F54+'Jan. 2017'!F54+'Feb. 2017'!F54+'March 2017'!F54+'April 2017'!F54+'May 2017'!F54+'June 2017'!F54)</f>
        <v>22</v>
      </c>
      <c r="G54" s="122">
        <f>SUM('July 2016'!G54+'Aug 2016'!G54+'Sept 2016'!G54+'Oct. 2016'!G54+'Nov. 2016'!G54+'Dec. 2016'!G54+'Jan. 2017'!G54+'Feb. 2017'!G54+'March 2017'!G54+'April 2017'!G54+'May 2017'!G54+'June 2017'!G54)</f>
        <v>8</v>
      </c>
      <c r="H54" s="122">
        <f>SUM('July 2016'!H54+'Aug 2016'!H54+'Sept 2016'!H54+'Oct. 2016'!H54+'Nov. 2016'!H54+'Dec. 2016'!H54+'Jan. 2017'!H54+'Feb. 2017'!H54+'March 2017'!H54+'April 2017'!H54+'May 2017'!H54+'June 2017'!H54)</f>
        <v>4</v>
      </c>
      <c r="I54" s="122">
        <f>SUM('July 2016'!I54+'Aug 2016'!I54+'Sept 2016'!I54+'Oct. 2016'!I54+'Nov. 2016'!I54+'Dec. 2016'!I54+'Jan. 2017'!I54+'Feb. 2017'!I54+'March 2017'!I54+'April 2017'!I54+'May 2017'!I54+'June 2017'!I54)</f>
        <v>0</v>
      </c>
      <c r="J54" s="122">
        <f>SUM('July 2016'!J54+'Aug 2016'!J54+'Sept 2016'!J54+'Oct. 2016'!J54+'Nov. 2016'!J54+'Dec. 2016'!J54+'Jan. 2017'!J54+'Feb. 2017'!J54+'March 2017'!J54+'April 2017'!J54+'May 2017'!J54+'June 2017'!J54)</f>
        <v>32</v>
      </c>
      <c r="K54" s="122">
        <f>SUM('July 2016'!K54+'Aug 2016'!K54+'Sept 2016'!K54+'Oct. 2016'!K54+'Nov. 2016'!K54+'Dec. 2016'!K54+'Jan. 2017'!K54+'Feb. 2017'!K54+'March 2017'!K54+'April 2017'!K54+'May 2017'!K54+'June 2017'!K54)</f>
        <v>0</v>
      </c>
      <c r="L54" s="130">
        <f t="shared" si="5"/>
        <v>82</v>
      </c>
    </row>
    <row r="55" spans="2:12" x14ac:dyDescent="0.2">
      <c r="B55" s="100" t="s">
        <v>150</v>
      </c>
      <c r="C55" s="122">
        <f>SUM('July 2016'!C55+'Aug 2016'!C55+'Sept 2016'!C55+'Oct. 2016'!C55+'Nov. 2016'!C55+'Dec. 2016'!C55+'Jan. 2017'!C55+'Feb. 2017'!C55+'March 2017'!C55+'April 2017'!C55+'May 2017'!C55+'June 2017'!C55)</f>
        <v>0</v>
      </c>
      <c r="D55" s="122">
        <f>SUM('July 2016'!D55+'Aug 2016'!D55+'Sept 2016'!D55+'Oct. 2016'!D55+'Nov. 2016'!D55+'Dec. 2016'!D55+'Jan. 2017'!D55+'Feb. 2017'!D55+'March 2017'!D55+'April 2017'!D55+'May 2017'!D55+'June 2017'!D55)</f>
        <v>0</v>
      </c>
      <c r="E55" s="122">
        <f>SUM('July 2016'!E55+'Aug 2016'!E55+'Sept 2016'!E55+'Oct. 2016'!E55+'Nov. 2016'!E55+'Dec. 2016'!E55+'Jan. 2017'!E55+'Feb. 2017'!E55+'March 2017'!E55+'April 2017'!E55+'May 2017'!E55+'June 2017'!E55)</f>
        <v>0</v>
      </c>
      <c r="F55" s="122">
        <f>SUM('July 2016'!F55+'Aug 2016'!F55+'Sept 2016'!F55+'Oct. 2016'!F55+'Nov. 2016'!F55+'Dec. 2016'!F55+'Jan. 2017'!F55+'Feb. 2017'!F55+'March 2017'!F55+'April 2017'!F55+'May 2017'!F55+'June 2017'!F55)</f>
        <v>0</v>
      </c>
      <c r="G55" s="122">
        <f>SUM('July 2016'!G55+'Aug 2016'!G55+'Sept 2016'!G55+'Oct. 2016'!G55+'Nov. 2016'!G55+'Dec. 2016'!G55+'Jan. 2017'!G55+'Feb. 2017'!G55+'March 2017'!G55+'April 2017'!G55+'May 2017'!G55+'June 2017'!G55)</f>
        <v>0</v>
      </c>
      <c r="H55" s="122">
        <f>SUM('July 2016'!H55+'Aug 2016'!H55+'Sept 2016'!H55+'Oct. 2016'!H55+'Nov. 2016'!H55+'Dec. 2016'!H55+'Jan. 2017'!H55+'Feb. 2017'!H55+'March 2017'!H55+'April 2017'!H55+'May 2017'!H55+'June 2017'!H55)</f>
        <v>0</v>
      </c>
      <c r="I55" s="122">
        <f>SUM('July 2016'!I55+'Aug 2016'!I55+'Sept 2016'!I55+'Oct. 2016'!I55+'Nov. 2016'!I55+'Dec. 2016'!I55+'Jan. 2017'!I55+'Feb. 2017'!I55+'March 2017'!I55+'April 2017'!I55+'May 2017'!I55+'June 2017'!I55)</f>
        <v>0</v>
      </c>
      <c r="J55" s="122">
        <f>SUM('July 2016'!J55+'Aug 2016'!J55+'Sept 2016'!J55+'Oct. 2016'!J55+'Nov. 2016'!J55+'Dec. 2016'!J55+'Jan. 2017'!J55+'Feb. 2017'!J55+'March 2017'!J55+'April 2017'!J55+'May 2017'!J55+'June 2017'!J55)</f>
        <v>0</v>
      </c>
      <c r="K55" s="122">
        <f>SUM('July 2016'!K55+'Aug 2016'!K55+'Sept 2016'!K55+'Oct. 2016'!K55+'Nov. 2016'!K55+'Dec. 2016'!K55+'Jan. 2017'!K55+'Feb. 2017'!K55+'March 2017'!K55+'April 2017'!K55+'May 2017'!K55+'June 2017'!K55)</f>
        <v>0</v>
      </c>
      <c r="L55" s="130">
        <f>SUM(C55:K55)</f>
        <v>0</v>
      </c>
    </row>
    <row r="56" spans="2:12" x14ac:dyDescent="0.2">
      <c r="B56" s="100" t="s">
        <v>88</v>
      </c>
      <c r="C56" s="122">
        <f>SUM('July 2016'!C56+'Aug 2016'!C56+'Sept 2016'!C56+'Oct. 2016'!C56+'Nov. 2016'!C56+'Dec. 2016'!C56+'Jan. 2017'!C56+'Feb. 2017'!C56+'March 2017'!C56+'April 2017'!C56+'May 2017'!C56+'June 2017'!C56)</f>
        <v>3</v>
      </c>
      <c r="D56" s="122">
        <f>SUM('July 2016'!D56+'Aug 2016'!D56+'Sept 2016'!D56+'Oct. 2016'!D56+'Nov. 2016'!D56+'Dec. 2016'!D56+'Jan. 2017'!D56+'Feb. 2017'!D56+'March 2017'!D56+'April 2017'!D56+'May 2017'!D56+'June 2017'!D56)</f>
        <v>7</v>
      </c>
      <c r="E56" s="122">
        <f>SUM('July 2016'!E56+'Aug 2016'!E56+'Sept 2016'!E56+'Oct. 2016'!E56+'Nov. 2016'!E56+'Dec. 2016'!E56+'Jan. 2017'!E56+'Feb. 2017'!E56+'March 2017'!E56+'April 2017'!E56+'May 2017'!E56+'June 2017'!E56)</f>
        <v>19</v>
      </c>
      <c r="F56" s="122">
        <f>SUM('July 2016'!F56+'Aug 2016'!F56+'Sept 2016'!F56+'Oct. 2016'!F56+'Nov. 2016'!F56+'Dec. 2016'!F56+'Jan. 2017'!F56+'Feb. 2017'!F56+'March 2017'!F56+'April 2017'!F56+'May 2017'!F56+'June 2017'!F56)</f>
        <v>4</v>
      </c>
      <c r="G56" s="122">
        <f>SUM('July 2016'!G56+'Aug 2016'!G56+'Sept 2016'!G56+'Oct. 2016'!G56+'Nov. 2016'!G56+'Dec. 2016'!G56+'Jan. 2017'!G56+'Feb. 2017'!G56+'March 2017'!G56+'April 2017'!G56+'May 2017'!G56+'June 2017'!G56)</f>
        <v>6</v>
      </c>
      <c r="H56" s="122">
        <f>SUM('July 2016'!H56+'Aug 2016'!H56+'Sept 2016'!H56+'Oct. 2016'!H56+'Nov. 2016'!H56+'Dec. 2016'!H56+'Jan. 2017'!H56+'Feb. 2017'!H56+'March 2017'!H56+'April 2017'!H56+'May 2017'!H56+'June 2017'!H56)</f>
        <v>0</v>
      </c>
      <c r="I56" s="122">
        <f>SUM('July 2016'!I56+'Aug 2016'!I56+'Sept 2016'!I56+'Oct. 2016'!I56+'Nov. 2016'!I56+'Dec. 2016'!I56+'Jan. 2017'!I56+'Feb. 2017'!I56+'March 2017'!I56+'April 2017'!I56+'May 2017'!I56+'June 2017'!I56)</f>
        <v>1</v>
      </c>
      <c r="J56" s="122">
        <f>SUM('July 2016'!J56+'Aug 2016'!J56+'Sept 2016'!J56+'Oct. 2016'!J56+'Nov. 2016'!J56+'Dec. 2016'!J56+'Jan. 2017'!J56+'Feb. 2017'!J56+'March 2017'!J56+'April 2017'!J56+'May 2017'!J56+'June 2017'!J56)</f>
        <v>6</v>
      </c>
      <c r="K56" s="122">
        <f>SUM('July 2016'!K56+'Aug 2016'!K56+'Sept 2016'!K56+'Oct. 2016'!K56+'Nov. 2016'!K56+'Dec. 2016'!K56+'Jan. 2017'!K56+'Feb. 2017'!K56+'March 2017'!K56+'April 2017'!K56+'May 2017'!K56+'June 2017'!K56)</f>
        <v>2</v>
      </c>
      <c r="L56" s="130">
        <f t="shared" si="5"/>
        <v>48</v>
      </c>
    </row>
    <row r="57" spans="2:12" x14ac:dyDescent="0.2">
      <c r="B57" s="100" t="s">
        <v>124</v>
      </c>
      <c r="C57" s="122">
        <f>SUM('July 2016'!C57+'Aug 2016'!C57+'Sept 2016'!C57+'Oct. 2016'!C57+'Nov. 2016'!C57+'Dec. 2016'!C57+'Jan. 2017'!C57+'Feb. 2017'!C57+'March 2017'!C57+'April 2017'!C57+'May 2017'!C57+'June 2017'!C57)</f>
        <v>0</v>
      </c>
      <c r="D57" s="122">
        <f>SUM('July 2016'!D57+'Aug 2016'!D57+'Sept 2016'!D57+'Oct. 2016'!D57+'Nov. 2016'!D57+'Dec. 2016'!D57+'Jan. 2017'!D57+'Feb. 2017'!D57+'March 2017'!D57+'April 2017'!D57+'May 2017'!D57+'June 2017'!D57)</f>
        <v>0</v>
      </c>
      <c r="E57" s="122">
        <f>SUM('July 2016'!E57+'Aug 2016'!E57+'Sept 2016'!E57+'Oct. 2016'!E57+'Nov. 2016'!E57+'Dec. 2016'!E57+'Jan. 2017'!E57+'Feb. 2017'!E57+'March 2017'!E57+'April 2017'!E57+'May 2017'!E57+'June 2017'!E57)</f>
        <v>0</v>
      </c>
      <c r="F57" s="122">
        <f>SUM('July 2016'!F57+'Aug 2016'!F57+'Sept 2016'!F57+'Oct. 2016'!F57+'Nov. 2016'!F57+'Dec. 2016'!F57+'Jan. 2017'!F57+'Feb. 2017'!F57+'March 2017'!F57+'April 2017'!F57+'May 2017'!F57+'June 2017'!F57)</f>
        <v>0</v>
      </c>
      <c r="G57" s="122">
        <f>SUM('July 2016'!G57+'Aug 2016'!G57+'Sept 2016'!G57+'Oct. 2016'!G57+'Nov. 2016'!G57+'Dec. 2016'!G57+'Jan. 2017'!G57+'Feb. 2017'!G57+'March 2017'!G57+'April 2017'!G57+'May 2017'!G57+'June 2017'!G57)</f>
        <v>2</v>
      </c>
      <c r="H57" s="122">
        <f>SUM('July 2016'!H57+'Aug 2016'!H57+'Sept 2016'!H57+'Oct. 2016'!H57+'Nov. 2016'!H57+'Dec. 2016'!H57+'Jan. 2017'!H57+'Feb. 2017'!H57+'March 2017'!H57+'April 2017'!H57+'May 2017'!H57+'June 2017'!H57)</f>
        <v>0</v>
      </c>
      <c r="I57" s="122">
        <f>SUM('July 2016'!I57+'Aug 2016'!I57+'Sept 2016'!I57+'Oct. 2016'!I57+'Nov. 2016'!I57+'Dec. 2016'!I57+'Jan. 2017'!I57+'Feb. 2017'!I57+'March 2017'!I57+'April 2017'!I57+'May 2017'!I57+'June 2017'!I57)</f>
        <v>0</v>
      </c>
      <c r="J57" s="122">
        <f>SUM('July 2016'!J57+'Aug 2016'!J57+'Sept 2016'!J57+'Oct. 2016'!J57+'Nov. 2016'!J57+'Dec. 2016'!J57+'Jan. 2017'!J57+'Feb. 2017'!J57+'March 2017'!J57+'April 2017'!J57+'May 2017'!J57+'June 2017'!J57)</f>
        <v>1</v>
      </c>
      <c r="K57" s="122">
        <f>SUM('July 2016'!K57+'Aug 2016'!K57+'Sept 2016'!K57+'Oct. 2016'!K57+'Nov. 2016'!K57+'Dec. 2016'!K57+'Jan. 2017'!K57+'Feb. 2017'!K57+'March 2017'!K57+'April 2017'!K57+'May 2017'!K57+'June 2017'!K57)</f>
        <v>0</v>
      </c>
      <c r="L57" s="130">
        <f t="shared" si="5"/>
        <v>3</v>
      </c>
    </row>
    <row r="58" spans="2:12" x14ac:dyDescent="0.2">
      <c r="B58" s="100" t="s">
        <v>102</v>
      </c>
      <c r="C58" s="122">
        <f>SUM('July 2016'!C58+'Aug 2016'!C58+'Sept 2016'!C58+'Oct. 2016'!C58+'Nov. 2016'!C58+'Dec. 2016'!C58+'Jan. 2017'!C58+'Feb. 2017'!C58+'March 2017'!C58+'April 2017'!C58+'May 2017'!C58+'June 2017'!C58)</f>
        <v>15</v>
      </c>
      <c r="D58" s="122">
        <f>SUM('July 2016'!D58+'Aug 2016'!D58+'Sept 2016'!D58+'Oct. 2016'!D58+'Nov. 2016'!D58+'Dec. 2016'!D58+'Jan. 2017'!D58+'Feb. 2017'!D58+'March 2017'!D58+'April 2017'!D58+'May 2017'!D58+'June 2017'!D58)</f>
        <v>9</v>
      </c>
      <c r="E58" s="122">
        <f>SUM('July 2016'!E58+'Aug 2016'!E58+'Sept 2016'!E58+'Oct. 2016'!E58+'Nov. 2016'!E58+'Dec. 2016'!E58+'Jan. 2017'!E58+'Feb. 2017'!E58+'March 2017'!E58+'April 2017'!E58+'May 2017'!E58+'June 2017'!E58)</f>
        <v>8</v>
      </c>
      <c r="F58" s="122">
        <f>SUM('July 2016'!F58+'Aug 2016'!F58+'Sept 2016'!F58+'Oct. 2016'!F58+'Nov. 2016'!F58+'Dec. 2016'!F58+'Jan. 2017'!F58+'Feb. 2017'!F58+'March 2017'!F58+'April 2017'!F58+'May 2017'!F58+'June 2017'!F58)</f>
        <v>41</v>
      </c>
      <c r="G58" s="122">
        <f>SUM('July 2016'!G58+'Aug 2016'!G58+'Sept 2016'!G58+'Oct. 2016'!G58+'Nov. 2016'!G58+'Dec. 2016'!G58+'Jan. 2017'!G58+'Feb. 2017'!G58+'March 2017'!G58+'April 2017'!G58+'May 2017'!G58+'June 2017'!G58)</f>
        <v>26</v>
      </c>
      <c r="H58" s="122">
        <f>SUM('July 2016'!H58+'Aug 2016'!H58+'Sept 2016'!H58+'Oct. 2016'!H58+'Nov. 2016'!H58+'Dec. 2016'!H58+'Jan. 2017'!H58+'Feb. 2017'!H58+'March 2017'!H58+'April 2017'!H58+'May 2017'!H58+'June 2017'!H58)</f>
        <v>2</v>
      </c>
      <c r="I58" s="122">
        <f>SUM('July 2016'!I58+'Aug 2016'!I58+'Sept 2016'!I58+'Oct. 2016'!I58+'Nov. 2016'!I58+'Dec. 2016'!I58+'Jan. 2017'!I58+'Feb. 2017'!I58+'March 2017'!I58+'April 2017'!I58+'May 2017'!I58+'June 2017'!I58)</f>
        <v>2</v>
      </c>
      <c r="J58" s="122">
        <f>SUM('July 2016'!J58+'Aug 2016'!J58+'Sept 2016'!J58+'Oct. 2016'!J58+'Nov. 2016'!J58+'Dec. 2016'!J58+'Jan. 2017'!J58+'Feb. 2017'!J58+'March 2017'!J58+'April 2017'!J58+'May 2017'!J58+'June 2017'!J58)</f>
        <v>46</v>
      </c>
      <c r="K58" s="122">
        <f>SUM('July 2016'!K58+'Aug 2016'!K58+'Sept 2016'!K58+'Oct. 2016'!K58+'Nov. 2016'!K58+'Dec. 2016'!K58+'Jan. 2017'!K58+'Feb. 2017'!K58+'March 2017'!K58+'April 2017'!K58+'May 2017'!K58+'June 2017'!K58)</f>
        <v>16</v>
      </c>
      <c r="L58" s="130">
        <f t="shared" si="5"/>
        <v>165</v>
      </c>
    </row>
    <row r="59" spans="2:12" x14ac:dyDescent="0.2">
      <c r="B59" s="100" t="s">
        <v>105</v>
      </c>
      <c r="C59" s="122">
        <f>SUM('July 2016'!C59+'Aug 2016'!C59+'Sept 2016'!C59+'Oct. 2016'!C59+'Nov. 2016'!C59+'Dec. 2016'!C59+'Jan. 2017'!C59+'Feb. 2017'!C59+'March 2017'!C59+'April 2017'!C59+'May 2017'!C59+'June 2017'!C59)</f>
        <v>8</v>
      </c>
      <c r="D59" s="122">
        <f>SUM('July 2016'!D59+'Aug 2016'!D59+'Sept 2016'!D59+'Oct. 2016'!D59+'Nov. 2016'!D59+'Dec. 2016'!D59+'Jan. 2017'!D59+'Feb. 2017'!D59+'March 2017'!D59+'April 2017'!D59+'May 2017'!D59+'June 2017'!D59)</f>
        <v>0</v>
      </c>
      <c r="E59" s="122">
        <f>SUM('July 2016'!E59+'Aug 2016'!E59+'Sept 2016'!E59+'Oct. 2016'!E59+'Nov. 2016'!E59+'Dec. 2016'!E59+'Jan. 2017'!E59+'Feb. 2017'!E59+'March 2017'!E59+'April 2017'!E59+'May 2017'!E59+'June 2017'!E59)</f>
        <v>51</v>
      </c>
      <c r="F59" s="122">
        <f>SUM('July 2016'!F59+'Aug 2016'!F59+'Sept 2016'!F59+'Oct. 2016'!F59+'Nov. 2016'!F59+'Dec. 2016'!F59+'Jan. 2017'!F59+'Feb. 2017'!F59+'March 2017'!F59+'April 2017'!F59+'May 2017'!F59+'June 2017'!F59)</f>
        <v>31</v>
      </c>
      <c r="G59" s="122">
        <f>SUM('July 2016'!G59+'Aug 2016'!G59+'Sept 2016'!G59+'Oct. 2016'!G59+'Nov. 2016'!G59+'Dec. 2016'!G59+'Jan. 2017'!G59+'Feb. 2017'!G59+'March 2017'!G59+'April 2017'!G59+'May 2017'!G59+'June 2017'!G59)</f>
        <v>15</v>
      </c>
      <c r="H59" s="122">
        <f>SUM('July 2016'!H59+'Aug 2016'!H59+'Sept 2016'!H59+'Oct. 2016'!H59+'Nov. 2016'!H59+'Dec. 2016'!H59+'Jan. 2017'!H59+'Feb. 2017'!H59+'March 2017'!H59+'April 2017'!H59+'May 2017'!H59+'June 2017'!H59)</f>
        <v>0</v>
      </c>
      <c r="I59" s="122">
        <f>SUM('July 2016'!I59+'Aug 2016'!I59+'Sept 2016'!I59+'Oct. 2016'!I59+'Nov. 2016'!I59+'Dec. 2016'!I59+'Jan. 2017'!I59+'Feb. 2017'!I59+'March 2017'!I59+'April 2017'!I59+'May 2017'!I59+'June 2017'!I59)</f>
        <v>3</v>
      </c>
      <c r="J59" s="122">
        <f>SUM('July 2016'!J59+'Aug 2016'!J59+'Sept 2016'!J59+'Oct. 2016'!J59+'Nov. 2016'!J59+'Dec. 2016'!J59+'Jan. 2017'!J59+'Feb. 2017'!J59+'March 2017'!J59+'April 2017'!J59+'May 2017'!J59+'June 2017'!J59)</f>
        <v>78</v>
      </c>
      <c r="K59" s="122">
        <f>SUM('July 2016'!K59+'Aug 2016'!K59+'Sept 2016'!K59+'Oct. 2016'!K59+'Nov. 2016'!K59+'Dec. 2016'!K59+'Jan. 2017'!K59+'Feb. 2017'!K59+'March 2017'!K59+'April 2017'!K59+'May 2017'!K59+'June 2017'!K59)</f>
        <v>4</v>
      </c>
      <c r="L59" s="130">
        <f t="shared" si="5"/>
        <v>190</v>
      </c>
    </row>
    <row r="60" spans="2:12" x14ac:dyDescent="0.2">
      <c r="B60" s="100" t="s">
        <v>90</v>
      </c>
      <c r="C60" s="122">
        <f>SUM('July 2016'!C60+'Aug 2016'!C60+'Sept 2016'!C60+'Oct. 2016'!C60+'Nov. 2016'!C60+'Dec. 2016'!C60+'Jan. 2017'!C60+'Feb. 2017'!C60+'March 2017'!C60+'April 2017'!C60+'May 2017'!C60+'June 2017'!C60)</f>
        <v>2</v>
      </c>
      <c r="D60" s="122">
        <f>SUM('July 2016'!D60+'Aug 2016'!D60+'Sept 2016'!D60+'Oct. 2016'!D60+'Nov. 2016'!D60+'Dec. 2016'!D60+'Jan. 2017'!D60+'Feb. 2017'!D60+'March 2017'!D60+'April 2017'!D60+'May 2017'!D60+'June 2017'!D60)</f>
        <v>0</v>
      </c>
      <c r="E60" s="122">
        <f>SUM('July 2016'!E60+'Aug 2016'!E60+'Sept 2016'!E60+'Oct. 2016'!E60+'Nov. 2016'!E60+'Dec. 2016'!E60+'Jan. 2017'!E60+'Feb. 2017'!E60+'March 2017'!E60+'April 2017'!E60+'May 2017'!E60+'June 2017'!E60)</f>
        <v>6</v>
      </c>
      <c r="F60" s="122">
        <f>SUM('July 2016'!F60+'Aug 2016'!F60+'Sept 2016'!F60+'Oct. 2016'!F60+'Nov. 2016'!F60+'Dec. 2016'!F60+'Jan. 2017'!F60+'Feb. 2017'!F60+'March 2017'!F60+'April 2017'!F60+'May 2017'!F60+'June 2017'!F60)</f>
        <v>26</v>
      </c>
      <c r="G60" s="122">
        <f>SUM('July 2016'!G60+'Aug 2016'!G60+'Sept 2016'!G60+'Oct. 2016'!G60+'Nov. 2016'!G60+'Dec. 2016'!G60+'Jan. 2017'!G60+'Feb. 2017'!G60+'March 2017'!G60+'April 2017'!G60+'May 2017'!G60+'June 2017'!G60)</f>
        <v>11</v>
      </c>
      <c r="H60" s="122">
        <f>SUM('July 2016'!H60+'Aug 2016'!H60+'Sept 2016'!H60+'Oct. 2016'!H60+'Nov. 2016'!H60+'Dec. 2016'!H60+'Jan. 2017'!H60+'Feb. 2017'!H60+'March 2017'!H60+'April 2017'!H60+'May 2017'!H60+'June 2017'!H60)</f>
        <v>6</v>
      </c>
      <c r="I60" s="122">
        <f>SUM('July 2016'!I60+'Aug 2016'!I60+'Sept 2016'!I60+'Oct. 2016'!I60+'Nov. 2016'!I60+'Dec. 2016'!I60+'Jan. 2017'!I60+'Feb. 2017'!I60+'March 2017'!I60+'April 2017'!I60+'May 2017'!I60+'June 2017'!I60)</f>
        <v>0</v>
      </c>
      <c r="J60" s="122">
        <f>SUM('July 2016'!J60+'Aug 2016'!J60+'Sept 2016'!J60+'Oct. 2016'!J60+'Nov. 2016'!J60+'Dec. 2016'!J60+'Jan. 2017'!J60+'Feb. 2017'!J60+'March 2017'!J60+'April 2017'!J60+'May 2017'!J60+'June 2017'!J60)</f>
        <v>35</v>
      </c>
      <c r="K60" s="122">
        <f>SUM('July 2016'!K60+'Aug 2016'!K60+'Sept 2016'!K60+'Oct. 2016'!K60+'Nov. 2016'!K60+'Dec. 2016'!K60+'Jan. 2017'!K60+'Feb. 2017'!K60+'March 2017'!K60+'April 2017'!K60+'May 2017'!K60+'June 2017'!K60)</f>
        <v>6</v>
      </c>
      <c r="L60" s="130">
        <f t="shared" si="5"/>
        <v>92</v>
      </c>
    </row>
    <row r="61" spans="2:12" x14ac:dyDescent="0.2">
      <c r="B61" s="111" t="s">
        <v>41</v>
      </c>
      <c r="C61" s="122">
        <f>SUM('July 2016'!C61+'Aug 2016'!C61+'Sept 2016'!C61+'Oct. 2016'!C61+'Nov. 2016'!C61+'Dec. 2016'!C61+'Jan. 2017'!C61+'Feb. 2017'!C61+'March 2017'!C61+'April 2017'!C61+'May 2017'!C61+'June 2017'!C61)</f>
        <v>15</v>
      </c>
      <c r="D61" s="122">
        <f>SUM('July 2016'!D61+'Aug 2016'!D61+'Sept 2016'!D61+'Oct. 2016'!D61+'Nov. 2016'!D61+'Dec. 2016'!D61+'Jan. 2017'!D61+'Feb. 2017'!D61+'March 2017'!D61+'April 2017'!D61+'May 2017'!D61+'June 2017'!D61)</f>
        <v>83</v>
      </c>
      <c r="E61" s="122">
        <f>SUM('July 2016'!E61+'Aug 2016'!E61+'Sept 2016'!E61+'Oct. 2016'!E61+'Nov. 2016'!E61+'Dec. 2016'!E61+'Jan. 2017'!E61+'Feb. 2017'!E61+'March 2017'!E61+'April 2017'!E61+'May 2017'!E61+'June 2017'!E61)</f>
        <v>107</v>
      </c>
      <c r="F61" s="122">
        <f>SUM('July 2016'!F61+'Aug 2016'!F61+'Sept 2016'!F61+'Oct. 2016'!F61+'Nov. 2016'!F61+'Dec. 2016'!F61+'Jan. 2017'!F61+'Feb. 2017'!F61+'March 2017'!F61+'April 2017'!F61+'May 2017'!F61+'June 2017'!F61)</f>
        <v>137</v>
      </c>
      <c r="G61" s="122">
        <f>SUM('July 2016'!G61+'Aug 2016'!G61+'Sept 2016'!G61+'Oct. 2016'!G61+'Nov. 2016'!G61+'Dec. 2016'!G61+'Jan. 2017'!G61+'Feb. 2017'!G61+'March 2017'!G61+'April 2017'!G61+'May 2017'!G61+'June 2017'!G61)</f>
        <v>168</v>
      </c>
      <c r="H61" s="122">
        <f>SUM('July 2016'!H61+'Aug 2016'!H61+'Sept 2016'!H61+'Oct. 2016'!H61+'Nov. 2016'!H61+'Dec. 2016'!H61+'Jan. 2017'!H61+'Feb. 2017'!H61+'March 2017'!H61+'April 2017'!H61+'May 2017'!H61+'June 2017'!H61)</f>
        <v>47</v>
      </c>
      <c r="I61" s="122">
        <f>SUM('July 2016'!I61+'Aug 2016'!I61+'Sept 2016'!I61+'Oct. 2016'!I61+'Nov. 2016'!I61+'Dec. 2016'!I61+'Jan. 2017'!I61+'Feb. 2017'!I61+'March 2017'!I61+'April 2017'!I61+'May 2017'!I61+'June 2017'!I61)</f>
        <v>10</v>
      </c>
      <c r="J61" s="122">
        <f>SUM('July 2016'!J61+'Aug 2016'!J61+'Sept 2016'!J61+'Oct. 2016'!J61+'Nov. 2016'!J61+'Dec. 2016'!J61+'Jan. 2017'!J61+'Feb. 2017'!J61+'March 2017'!J61+'April 2017'!J61+'May 2017'!J61+'June 2017'!J61)</f>
        <v>212</v>
      </c>
      <c r="K61" s="122">
        <f>SUM('July 2016'!K61+'Aug 2016'!K61+'Sept 2016'!K61+'Oct. 2016'!K61+'Nov. 2016'!K61+'Dec. 2016'!K61+'Jan. 2017'!K61+'Feb. 2017'!K61+'March 2017'!K61+'April 2017'!K61+'May 2017'!K61+'June 2017'!K61)</f>
        <v>14</v>
      </c>
      <c r="L61" s="130">
        <f t="shared" si="5"/>
        <v>793</v>
      </c>
    </row>
    <row r="62" spans="2:12" x14ac:dyDescent="0.2">
      <c r="B62" s="111" t="s">
        <v>40</v>
      </c>
      <c r="C62" s="122">
        <f>SUM('July 2016'!C62+'Aug 2016'!C62+'Sept 2016'!C62+'Oct. 2016'!C62+'Nov. 2016'!C62+'Dec. 2016'!C62+'Jan. 2017'!C62+'Feb. 2017'!C62+'March 2017'!C62+'April 2017'!C62+'May 2017'!C62+'June 2017'!C62)</f>
        <v>0</v>
      </c>
      <c r="D62" s="122">
        <f>SUM('July 2016'!D62+'Aug 2016'!D62+'Sept 2016'!D62+'Oct. 2016'!D62+'Nov. 2016'!D62+'Dec. 2016'!D62+'Jan. 2017'!D62+'Feb. 2017'!D62+'March 2017'!D62+'April 2017'!D62+'May 2017'!D62+'June 2017'!D62)</f>
        <v>0</v>
      </c>
      <c r="E62" s="122">
        <f>SUM('July 2016'!E62+'Aug 2016'!E62+'Sept 2016'!E62+'Oct. 2016'!E62+'Nov. 2016'!E62+'Dec. 2016'!E62+'Jan. 2017'!E62+'Feb. 2017'!E62+'March 2017'!E62+'April 2017'!E62+'May 2017'!E62+'June 2017'!E62)</f>
        <v>1</v>
      </c>
      <c r="F62" s="122">
        <f>SUM('July 2016'!F62+'Aug 2016'!F62+'Sept 2016'!F62+'Oct. 2016'!F62+'Nov. 2016'!F62+'Dec. 2016'!F62+'Jan. 2017'!F62+'Feb. 2017'!F62+'March 2017'!F62+'April 2017'!F62+'May 2017'!F62+'June 2017'!F62)</f>
        <v>1</v>
      </c>
      <c r="G62" s="122">
        <f>SUM('July 2016'!G62+'Aug 2016'!G62+'Sept 2016'!G62+'Oct. 2016'!G62+'Nov. 2016'!G62+'Dec. 2016'!G62+'Jan. 2017'!G62+'Feb. 2017'!G62+'March 2017'!G62+'April 2017'!G62+'May 2017'!G62+'June 2017'!G62)</f>
        <v>0</v>
      </c>
      <c r="H62" s="122">
        <f>SUM('July 2016'!H62+'Aug 2016'!H62+'Sept 2016'!H62+'Oct. 2016'!H62+'Nov. 2016'!H62+'Dec. 2016'!H62+'Jan. 2017'!H62+'Feb. 2017'!H62+'March 2017'!H62+'April 2017'!H62+'May 2017'!H62+'June 2017'!H62)</f>
        <v>0</v>
      </c>
      <c r="I62" s="122">
        <f>SUM('July 2016'!I62+'Aug 2016'!I62+'Sept 2016'!I62+'Oct. 2016'!I62+'Nov. 2016'!I62+'Dec. 2016'!I62+'Jan. 2017'!I62+'Feb. 2017'!I62+'March 2017'!I62+'April 2017'!I62+'May 2017'!I62+'June 2017'!I62)</f>
        <v>0</v>
      </c>
      <c r="J62" s="122">
        <f>SUM('July 2016'!J62+'Aug 2016'!J62+'Sept 2016'!J62+'Oct. 2016'!J62+'Nov. 2016'!J62+'Dec. 2016'!J62+'Jan. 2017'!J62+'Feb. 2017'!J62+'March 2017'!J62+'April 2017'!J62+'May 2017'!J62+'June 2017'!J62)</f>
        <v>0</v>
      </c>
      <c r="K62" s="122">
        <f>SUM('July 2016'!K62+'Aug 2016'!K62+'Sept 2016'!K62+'Oct. 2016'!K62+'Nov. 2016'!K62+'Dec. 2016'!K62+'Jan. 2017'!K62+'Feb. 2017'!K62+'March 2017'!K62+'April 2017'!K62+'May 2017'!K62+'June 2017'!K62)</f>
        <v>0</v>
      </c>
      <c r="L62" s="130">
        <f t="shared" si="5"/>
        <v>2</v>
      </c>
    </row>
    <row r="63" spans="2:12" x14ac:dyDescent="0.2">
      <c r="B63" s="111" t="s">
        <v>129</v>
      </c>
      <c r="C63" s="122">
        <f>SUM('July 2016'!C63+'Aug 2016'!C63+'Sept 2016'!C63+'Oct. 2016'!C63+'Nov. 2016'!C63+'Dec. 2016'!C63+'Jan. 2017'!C63+'Feb. 2017'!C63+'March 2017'!C63+'April 2017'!C63+'May 2017'!C63+'June 2017'!C63)</f>
        <v>0</v>
      </c>
      <c r="D63" s="122">
        <f>SUM('July 2016'!D63+'Aug 2016'!D63+'Sept 2016'!D63+'Oct. 2016'!D63+'Nov. 2016'!D63+'Dec. 2016'!D63+'Jan. 2017'!D63+'Feb. 2017'!D63+'March 2017'!D63+'April 2017'!D63+'May 2017'!D63+'June 2017'!D63)</f>
        <v>0</v>
      </c>
      <c r="E63" s="122">
        <f>SUM('July 2016'!E63+'Aug 2016'!E63+'Sept 2016'!E63+'Oct. 2016'!E63+'Nov. 2016'!E63+'Dec. 2016'!E63+'Jan. 2017'!E63+'Feb. 2017'!E63+'March 2017'!E63+'April 2017'!E63+'May 2017'!E63+'June 2017'!E63)</f>
        <v>0</v>
      </c>
      <c r="F63" s="122">
        <f>SUM('July 2016'!F63+'Aug 2016'!F63+'Sept 2016'!F63+'Oct. 2016'!F63+'Nov. 2016'!F63+'Dec. 2016'!F63+'Jan. 2017'!F63+'Feb. 2017'!F63+'March 2017'!F63+'April 2017'!F63+'May 2017'!F63+'June 2017'!F63)</f>
        <v>0</v>
      </c>
      <c r="G63" s="122">
        <f>SUM('July 2016'!G63+'Aug 2016'!G63+'Sept 2016'!G63+'Oct. 2016'!G63+'Nov. 2016'!G63+'Dec. 2016'!G63+'Jan. 2017'!G63+'Feb. 2017'!G63+'March 2017'!G63+'April 2017'!G63+'May 2017'!G63+'June 2017'!G63)</f>
        <v>0</v>
      </c>
      <c r="H63" s="122">
        <f>SUM('July 2016'!H63+'Aug 2016'!H63+'Sept 2016'!H63+'Oct. 2016'!H63+'Nov. 2016'!H63+'Dec. 2016'!H63+'Jan. 2017'!H63+'Feb. 2017'!H63+'March 2017'!H63+'April 2017'!H63+'May 2017'!H63+'June 2017'!H63)</f>
        <v>0</v>
      </c>
      <c r="I63" s="122">
        <f>SUM('July 2016'!I63+'Aug 2016'!I63+'Sept 2016'!I63+'Oct. 2016'!I63+'Nov. 2016'!I63+'Dec. 2016'!I63+'Jan. 2017'!I63+'Feb. 2017'!I63+'March 2017'!I63+'April 2017'!I63+'May 2017'!I63+'June 2017'!I63)</f>
        <v>0</v>
      </c>
      <c r="J63" s="122">
        <f>SUM('July 2016'!J63+'Aug 2016'!J63+'Sept 2016'!J63+'Oct. 2016'!J63+'Nov. 2016'!J63+'Dec. 2016'!J63+'Jan. 2017'!J63+'Feb. 2017'!J63+'March 2017'!J63+'April 2017'!J63+'May 2017'!J63+'June 2017'!J63)</f>
        <v>0</v>
      </c>
      <c r="K63" s="122">
        <f>SUM('July 2016'!K63+'Aug 2016'!K63+'Sept 2016'!K63+'Oct. 2016'!K63+'Nov. 2016'!K63+'Dec. 2016'!K63+'Jan. 2017'!K63+'Feb. 2017'!K63+'March 2017'!K63+'April 2017'!K63+'May 2017'!K63+'June 2017'!K63)</f>
        <v>0</v>
      </c>
      <c r="L63" s="130">
        <f t="shared" si="5"/>
        <v>0</v>
      </c>
    </row>
    <row r="64" spans="2:12" x14ac:dyDescent="0.2">
      <c r="B64" s="111" t="s">
        <v>130</v>
      </c>
      <c r="C64" s="122">
        <f>SUM('July 2016'!C64+'Aug 2016'!C64+'Sept 2016'!C64+'Oct. 2016'!C64+'Nov. 2016'!C64+'Dec. 2016'!C64+'Jan. 2017'!C64+'Feb. 2017'!C64+'March 2017'!C64+'April 2017'!C64+'May 2017'!C64+'June 2017'!C64)</f>
        <v>0</v>
      </c>
      <c r="D64" s="122">
        <f>SUM('July 2016'!D64+'Aug 2016'!D64+'Sept 2016'!D64+'Oct. 2016'!D64+'Nov. 2016'!D64+'Dec. 2016'!D64+'Jan. 2017'!D64+'Feb. 2017'!D64+'March 2017'!D64+'April 2017'!D64+'May 2017'!D64+'June 2017'!D64)</f>
        <v>0</v>
      </c>
      <c r="E64" s="122">
        <f>SUM('July 2016'!E64+'Aug 2016'!E64+'Sept 2016'!E64+'Oct. 2016'!E64+'Nov. 2016'!E64+'Dec. 2016'!E64+'Jan. 2017'!E64+'Feb. 2017'!E64+'March 2017'!E64+'April 2017'!E64+'May 2017'!E64+'June 2017'!E64)</f>
        <v>0</v>
      </c>
      <c r="F64" s="122">
        <f>SUM('July 2016'!F64+'Aug 2016'!F64+'Sept 2016'!F64+'Oct. 2016'!F64+'Nov. 2016'!F64+'Dec. 2016'!F64+'Jan. 2017'!F64+'Feb. 2017'!F64+'March 2017'!F64+'April 2017'!F64+'May 2017'!F64+'June 2017'!F64)</f>
        <v>0</v>
      </c>
      <c r="G64" s="122">
        <f>SUM('July 2016'!G64+'Aug 2016'!G64+'Sept 2016'!G64+'Oct. 2016'!G64+'Nov. 2016'!G64+'Dec. 2016'!G64+'Jan. 2017'!G64+'Feb. 2017'!G64+'March 2017'!G64+'April 2017'!G64+'May 2017'!G64+'June 2017'!G64)</f>
        <v>3</v>
      </c>
      <c r="H64" s="122">
        <f>SUM('July 2016'!H64+'Aug 2016'!H64+'Sept 2016'!H64+'Oct. 2016'!H64+'Nov. 2016'!H64+'Dec. 2016'!H64+'Jan. 2017'!H64+'Feb. 2017'!H64+'March 2017'!H64+'April 2017'!H64+'May 2017'!H64+'June 2017'!H64)</f>
        <v>0</v>
      </c>
      <c r="I64" s="122">
        <f>SUM('July 2016'!I64+'Aug 2016'!I64+'Sept 2016'!I64+'Oct. 2016'!I64+'Nov. 2016'!I64+'Dec. 2016'!I64+'Jan. 2017'!I64+'Feb. 2017'!I64+'March 2017'!I64+'April 2017'!I64+'May 2017'!I64+'June 2017'!I64)</f>
        <v>0</v>
      </c>
      <c r="J64" s="122">
        <f>SUM('July 2016'!J64+'Aug 2016'!J64+'Sept 2016'!J64+'Oct. 2016'!J64+'Nov. 2016'!J64+'Dec. 2016'!J64+'Jan. 2017'!J64+'Feb. 2017'!J64+'March 2017'!J64+'April 2017'!J64+'May 2017'!J64+'June 2017'!J64)</f>
        <v>5</v>
      </c>
      <c r="K64" s="122">
        <f>SUM('July 2016'!K64+'Aug 2016'!K64+'Sept 2016'!K64+'Oct. 2016'!K64+'Nov. 2016'!K64+'Dec. 2016'!K64+'Jan. 2017'!K64+'Feb. 2017'!K64+'March 2017'!K64+'April 2017'!K64+'May 2017'!K64+'June 2017'!K64)</f>
        <v>5</v>
      </c>
      <c r="L64" s="130">
        <f t="shared" si="5"/>
        <v>13</v>
      </c>
    </row>
    <row r="65" spans="1:13" x14ac:dyDescent="0.2">
      <c r="B65" s="100" t="s">
        <v>153</v>
      </c>
      <c r="C65" s="122">
        <f>SUM('July 2016'!C65+'Aug 2016'!C65+'Sept 2016'!C65+'Oct. 2016'!C65+'Nov. 2016'!C65+'Dec. 2016'!C65+'Jan. 2017'!C65+'Feb. 2017'!C65+'March 2017'!C65+'April 2017'!C65+'May 2017'!C65+'June 2017'!C65)</f>
        <v>0</v>
      </c>
      <c r="D65" s="122">
        <f>SUM('July 2016'!D65+'Aug 2016'!D65+'Sept 2016'!D65+'Oct. 2016'!D65+'Nov. 2016'!D65+'Dec. 2016'!D65+'Jan. 2017'!D65+'Feb. 2017'!D65+'March 2017'!D65+'April 2017'!D65+'May 2017'!D65+'June 2017'!D65)</f>
        <v>0</v>
      </c>
      <c r="E65" s="122">
        <f>SUM('July 2016'!E65+'Aug 2016'!E65+'Sept 2016'!E65+'Oct. 2016'!E65+'Nov. 2016'!E65+'Dec. 2016'!E65+'Jan. 2017'!E65+'Feb. 2017'!E65+'March 2017'!E65+'April 2017'!E65+'May 2017'!E65+'June 2017'!E65)</f>
        <v>0</v>
      </c>
      <c r="F65" s="122">
        <f>SUM('July 2016'!F65+'Aug 2016'!F65+'Sept 2016'!F65+'Oct. 2016'!F65+'Nov. 2016'!F65+'Dec. 2016'!F65+'Jan. 2017'!F65+'Feb. 2017'!F65+'March 2017'!F65+'April 2017'!F65+'May 2017'!F65+'June 2017'!F65)</f>
        <v>2</v>
      </c>
      <c r="G65" s="122">
        <f>SUM('July 2016'!G65+'Aug 2016'!G65+'Sept 2016'!G65+'Oct. 2016'!G65+'Nov. 2016'!G65+'Dec. 2016'!G65+'Jan. 2017'!G65+'Feb. 2017'!G65+'March 2017'!G65+'April 2017'!G65+'May 2017'!G65+'June 2017'!G65)</f>
        <v>0</v>
      </c>
      <c r="H65" s="122">
        <f>SUM('July 2016'!H65+'Aug 2016'!H65+'Sept 2016'!H65+'Oct. 2016'!H65+'Nov. 2016'!H65+'Dec. 2016'!H65+'Jan. 2017'!H65+'Feb. 2017'!H65+'March 2017'!H65+'April 2017'!H65+'May 2017'!H65+'June 2017'!H65)</f>
        <v>24</v>
      </c>
      <c r="I65" s="122">
        <f>SUM('July 2016'!I65+'Aug 2016'!I65+'Sept 2016'!I65+'Oct. 2016'!I65+'Nov. 2016'!I65+'Dec. 2016'!I65+'Jan. 2017'!I65+'Feb. 2017'!I65+'March 2017'!I65+'April 2017'!I65+'May 2017'!I65+'June 2017'!I65)</f>
        <v>0</v>
      </c>
      <c r="J65" s="122">
        <f>SUM('July 2016'!J65+'Aug 2016'!J65+'Sept 2016'!J65+'Oct. 2016'!J65+'Nov. 2016'!J65+'Dec. 2016'!J65+'Jan. 2017'!J65+'Feb. 2017'!J65+'March 2017'!J65+'April 2017'!J65+'May 2017'!J65+'June 2017'!J65)</f>
        <v>0</v>
      </c>
      <c r="K65" s="122">
        <f>SUM('July 2016'!K65+'Aug 2016'!K65+'Sept 2016'!K65+'Oct. 2016'!K65+'Nov. 2016'!K65+'Dec. 2016'!K65+'Jan. 2017'!K65+'Feb. 2017'!K65+'March 2017'!K65+'April 2017'!K65+'May 2017'!K65+'June 2017'!K65)</f>
        <v>0</v>
      </c>
      <c r="L65" s="130">
        <f t="shared" si="5"/>
        <v>26</v>
      </c>
    </row>
    <row r="66" spans="1:13" x14ac:dyDescent="0.2">
      <c r="B66" s="111" t="s">
        <v>80</v>
      </c>
      <c r="C66" s="122">
        <f>SUM('July 2016'!C66+'Aug 2016'!C66+'Sept 2016'!C66+'Oct. 2016'!C66+'Nov. 2016'!C66+'Dec. 2016'!C66+'Jan. 2017'!C66+'Feb. 2017'!C66+'March 2017'!C66+'April 2017'!C66+'May 2017'!C66+'June 2017'!C66)</f>
        <v>94</v>
      </c>
      <c r="D66" s="122">
        <f>SUM('July 2016'!D66+'Aug 2016'!D66+'Sept 2016'!D66+'Oct. 2016'!D66+'Nov. 2016'!D66+'Dec. 2016'!D66+'Jan. 2017'!D66+'Feb. 2017'!D66+'March 2017'!D66+'April 2017'!D66+'May 2017'!D66+'June 2017'!D66)</f>
        <v>76</v>
      </c>
      <c r="E66" s="122">
        <f>SUM('July 2016'!E66+'Aug 2016'!E66+'Sept 2016'!E66+'Oct. 2016'!E66+'Nov. 2016'!E66+'Dec. 2016'!E66+'Jan. 2017'!E66+'Feb. 2017'!E66+'March 2017'!E66+'April 2017'!E66+'May 2017'!E66+'June 2017'!E66)</f>
        <v>228</v>
      </c>
      <c r="F66" s="122">
        <f>SUM('July 2016'!F66+'Aug 2016'!F66+'Sept 2016'!F66+'Oct. 2016'!F66+'Nov. 2016'!F66+'Dec. 2016'!F66+'Jan. 2017'!F66+'Feb. 2017'!F66+'March 2017'!F66+'April 2017'!F66+'May 2017'!F66+'June 2017'!F66)</f>
        <v>424</v>
      </c>
      <c r="G66" s="122">
        <f>SUM('July 2016'!G66+'Aug 2016'!G66+'Sept 2016'!G66+'Oct. 2016'!G66+'Nov. 2016'!G66+'Dec. 2016'!G66+'Jan. 2017'!G66+'Feb. 2017'!G66+'March 2017'!G66+'April 2017'!G66+'May 2017'!G66+'June 2017'!G66)</f>
        <v>223</v>
      </c>
      <c r="H66" s="122">
        <f>SUM('July 2016'!H66+'Aug 2016'!H66+'Sept 2016'!H66+'Oct. 2016'!H66+'Nov. 2016'!H66+'Dec. 2016'!H66+'Jan. 2017'!H66+'Feb. 2017'!H66+'March 2017'!H66+'April 2017'!H66+'May 2017'!H66+'June 2017'!H66)</f>
        <v>63</v>
      </c>
      <c r="I66" s="122">
        <f>SUM('July 2016'!I66+'Aug 2016'!I66+'Sept 2016'!I66+'Oct. 2016'!I66+'Nov. 2016'!I66+'Dec. 2016'!I66+'Jan. 2017'!I66+'Feb. 2017'!I66+'March 2017'!I66+'April 2017'!I66+'May 2017'!I66+'June 2017'!I66)</f>
        <v>37</v>
      </c>
      <c r="J66" s="122">
        <f>SUM('July 2016'!J66+'Aug 2016'!J66+'Sept 2016'!J66+'Oct. 2016'!J66+'Nov. 2016'!J66+'Dec. 2016'!J66+'Jan. 2017'!J66+'Feb. 2017'!J66+'March 2017'!J66+'April 2017'!J66+'May 2017'!J66+'June 2017'!J66)</f>
        <v>659</v>
      </c>
      <c r="K66" s="122">
        <f>SUM('July 2016'!K66+'Aug 2016'!K66+'Sept 2016'!K66+'Oct. 2016'!K66+'Nov. 2016'!K66+'Dec. 2016'!K66+'Jan. 2017'!K66+'Feb. 2017'!K66+'March 2017'!K66+'April 2017'!K66+'May 2017'!K66+'June 2017'!K66)</f>
        <v>187</v>
      </c>
      <c r="L66" s="130">
        <f t="shared" si="5"/>
        <v>1991</v>
      </c>
    </row>
    <row r="67" spans="1:13" x14ac:dyDescent="0.2">
      <c r="B67" s="100" t="s">
        <v>151</v>
      </c>
      <c r="C67" s="122">
        <f>SUM('July 2016'!C67+'Aug 2016'!C67+'Sept 2016'!C67+'Oct. 2016'!C67+'Nov. 2016'!C67+'Dec. 2016'!C67+'Jan. 2017'!C67+'Feb. 2017'!C67+'March 2017'!C67+'April 2017'!C67+'May 2017'!C67+'June 2017'!C67)</f>
        <v>0</v>
      </c>
      <c r="D67" s="122">
        <f>SUM('July 2016'!D67+'Aug 2016'!D67+'Sept 2016'!D67+'Oct. 2016'!D67+'Nov. 2016'!D67+'Dec. 2016'!D67+'Jan. 2017'!D67+'Feb. 2017'!D67+'March 2017'!D67+'April 2017'!D67+'May 2017'!D67+'June 2017'!D67)</f>
        <v>0</v>
      </c>
      <c r="E67" s="122">
        <f>SUM('July 2016'!E67+'Aug 2016'!E67+'Sept 2016'!E67+'Oct. 2016'!E67+'Nov. 2016'!E67+'Dec. 2016'!E67+'Jan. 2017'!E67+'Feb. 2017'!E67+'March 2017'!E67+'April 2017'!E67+'May 2017'!E67+'June 2017'!E67)</f>
        <v>6</v>
      </c>
      <c r="F67" s="122">
        <f>SUM('July 2016'!F67+'Aug 2016'!F67+'Sept 2016'!F67+'Oct. 2016'!F67+'Nov. 2016'!F67+'Dec. 2016'!F67+'Jan. 2017'!F67+'Feb. 2017'!F67+'March 2017'!F67+'April 2017'!F67+'May 2017'!F67+'June 2017'!F67)</f>
        <v>0</v>
      </c>
      <c r="G67" s="122">
        <f>SUM('July 2016'!G67+'Aug 2016'!G67+'Sept 2016'!G67+'Oct. 2016'!G67+'Nov. 2016'!G67+'Dec. 2016'!G67+'Jan. 2017'!G67+'Feb. 2017'!G67+'March 2017'!G67+'April 2017'!G67+'May 2017'!G67+'June 2017'!G67)</f>
        <v>1</v>
      </c>
      <c r="H67" s="122">
        <f>SUM('July 2016'!H67+'Aug 2016'!H67+'Sept 2016'!H67+'Oct. 2016'!H67+'Nov. 2016'!H67+'Dec. 2016'!H67+'Jan. 2017'!H67+'Feb. 2017'!H67+'March 2017'!H67+'April 2017'!H67+'May 2017'!H67+'June 2017'!H67)</f>
        <v>0</v>
      </c>
      <c r="I67" s="122">
        <f>SUM('July 2016'!I67+'Aug 2016'!I67+'Sept 2016'!I67+'Oct. 2016'!I67+'Nov. 2016'!I67+'Dec. 2016'!I67+'Jan. 2017'!I67+'Feb. 2017'!I67+'March 2017'!I67+'April 2017'!I67+'May 2017'!I67+'June 2017'!I67)</f>
        <v>0</v>
      </c>
      <c r="J67" s="122">
        <f>SUM('July 2016'!J67+'Aug 2016'!J67+'Sept 2016'!J67+'Oct. 2016'!J67+'Nov. 2016'!J67+'Dec. 2016'!J67+'Jan. 2017'!J67+'Feb. 2017'!J67+'March 2017'!J67+'April 2017'!J67+'May 2017'!J67+'June 2017'!J67)</f>
        <v>0</v>
      </c>
      <c r="K67" s="122">
        <f>SUM('July 2016'!K67+'Aug 2016'!K67+'Sept 2016'!K67+'Oct. 2016'!K67+'Nov. 2016'!K67+'Dec. 2016'!K67+'Jan. 2017'!K67+'Feb. 2017'!K67+'March 2017'!K67+'April 2017'!K67+'May 2017'!K67+'June 2017'!K67)</f>
        <v>0</v>
      </c>
      <c r="L67" s="130">
        <f t="shared" si="5"/>
        <v>7</v>
      </c>
    </row>
    <row r="68" spans="1:13" x14ac:dyDescent="0.2">
      <c r="B68" s="100" t="s">
        <v>123</v>
      </c>
      <c r="C68" s="122">
        <f>SUM('July 2016'!C68+'Aug 2016'!C68+'Sept 2016'!C68+'Oct. 2016'!C68+'Nov. 2016'!C68+'Dec. 2016'!C68+'Jan. 2017'!C68+'Feb. 2017'!C68+'March 2017'!C68+'April 2017'!C68+'May 2017'!C68+'June 2017'!C68)</f>
        <v>0</v>
      </c>
      <c r="D68" s="122">
        <f>SUM('July 2016'!D68+'Aug 2016'!D68+'Sept 2016'!D68+'Oct. 2016'!D68+'Nov. 2016'!D68+'Dec. 2016'!D68+'Jan. 2017'!D68+'Feb. 2017'!D68+'March 2017'!D68+'April 2017'!D68+'May 2017'!D68+'June 2017'!D68)</f>
        <v>0</v>
      </c>
      <c r="E68" s="122">
        <f>SUM('July 2016'!E68+'Aug 2016'!E68+'Sept 2016'!E68+'Oct. 2016'!E68+'Nov. 2016'!E68+'Dec. 2016'!E68+'Jan. 2017'!E68+'Feb. 2017'!E68+'March 2017'!E68+'April 2017'!E68+'May 2017'!E68+'June 2017'!E68)</f>
        <v>0</v>
      </c>
      <c r="F68" s="122">
        <f>SUM('July 2016'!F68+'Aug 2016'!F68+'Sept 2016'!F68+'Oct. 2016'!F68+'Nov. 2016'!F68+'Dec. 2016'!F68+'Jan. 2017'!F68+'Feb. 2017'!F68+'March 2017'!F68+'April 2017'!F68+'May 2017'!F68+'June 2017'!F68)</f>
        <v>0</v>
      </c>
      <c r="G68" s="122">
        <f>SUM('July 2016'!G68+'Aug 2016'!G68+'Sept 2016'!G68+'Oct. 2016'!G68+'Nov. 2016'!G68+'Dec. 2016'!G68+'Jan. 2017'!G68+'Feb. 2017'!G68+'March 2017'!G68+'April 2017'!G68+'May 2017'!G68+'June 2017'!G68)</f>
        <v>0</v>
      </c>
      <c r="H68" s="122">
        <f>SUM('July 2016'!H68+'Aug 2016'!H68+'Sept 2016'!H68+'Oct. 2016'!H68+'Nov. 2016'!H68+'Dec. 2016'!H68+'Jan. 2017'!H68+'Feb. 2017'!H68+'March 2017'!H68+'April 2017'!H68+'May 2017'!H68+'June 2017'!H68)</f>
        <v>0</v>
      </c>
      <c r="I68" s="122">
        <f>SUM('July 2016'!I68+'Aug 2016'!I68+'Sept 2016'!I68+'Oct. 2016'!I68+'Nov. 2016'!I68+'Dec. 2016'!I68+'Jan. 2017'!I68+'Feb. 2017'!I68+'March 2017'!I68+'April 2017'!I68+'May 2017'!I68+'June 2017'!I68)</f>
        <v>0</v>
      </c>
      <c r="J68" s="122">
        <f>SUM('July 2016'!J68+'Aug 2016'!J68+'Sept 2016'!J68+'Oct. 2016'!J68+'Nov. 2016'!J68+'Dec. 2016'!J68+'Jan. 2017'!J68+'Feb. 2017'!J68+'March 2017'!J68+'April 2017'!J68+'May 2017'!J68+'June 2017'!J68)</f>
        <v>0</v>
      </c>
      <c r="K68" s="122">
        <f>SUM('July 2016'!K68+'Aug 2016'!K68+'Sept 2016'!K68+'Oct. 2016'!K68+'Nov. 2016'!K68+'Dec. 2016'!K68+'Jan. 2017'!K68+'Feb. 2017'!K68+'March 2017'!K68+'April 2017'!K68+'May 2017'!K68+'June 2017'!K68)</f>
        <v>0</v>
      </c>
      <c r="L68" s="130">
        <f t="shared" si="5"/>
        <v>0</v>
      </c>
    </row>
    <row r="69" spans="1:13" x14ac:dyDescent="0.2">
      <c r="B69" s="100" t="s">
        <v>89</v>
      </c>
      <c r="C69" s="122">
        <f>SUM('July 2016'!C69+'Aug 2016'!C69+'Sept 2016'!C69+'Oct. 2016'!C69+'Nov. 2016'!C69+'Dec. 2016'!C69+'Jan. 2017'!C69+'Feb. 2017'!C69+'March 2017'!C69+'April 2017'!C69+'May 2017'!C69+'June 2017'!C69)</f>
        <v>5</v>
      </c>
      <c r="D69" s="122">
        <f>SUM('July 2016'!D69+'Aug 2016'!D69+'Sept 2016'!D69+'Oct. 2016'!D69+'Nov. 2016'!D69+'Dec. 2016'!D69+'Jan. 2017'!D69+'Feb. 2017'!D69+'March 2017'!D69+'April 2017'!D69+'May 2017'!D69+'June 2017'!D69)</f>
        <v>21</v>
      </c>
      <c r="E69" s="122">
        <f>SUM('July 2016'!E69+'Aug 2016'!E69+'Sept 2016'!E69+'Oct. 2016'!E69+'Nov. 2016'!E69+'Dec. 2016'!E69+'Jan. 2017'!E69+'Feb. 2017'!E69+'March 2017'!E69+'April 2017'!E69+'May 2017'!E69+'June 2017'!E69)</f>
        <v>110</v>
      </c>
      <c r="F69" s="122">
        <f>SUM('July 2016'!F69+'Aug 2016'!F69+'Sept 2016'!F69+'Oct. 2016'!F69+'Nov. 2016'!F69+'Dec. 2016'!F69+'Jan. 2017'!F69+'Feb. 2017'!F69+'March 2017'!F69+'April 2017'!F69+'May 2017'!F69+'June 2017'!F69)</f>
        <v>72</v>
      </c>
      <c r="G69" s="122">
        <f>SUM('July 2016'!G69+'Aug 2016'!G69+'Sept 2016'!G69+'Oct. 2016'!G69+'Nov. 2016'!G69+'Dec. 2016'!G69+'Jan. 2017'!G69+'Feb. 2017'!G69+'March 2017'!G69+'April 2017'!G69+'May 2017'!G69+'June 2017'!G69)</f>
        <v>1</v>
      </c>
      <c r="H69" s="122">
        <f>SUM('July 2016'!H69+'Aug 2016'!H69+'Sept 2016'!H69+'Oct. 2016'!H69+'Nov. 2016'!H69+'Dec. 2016'!H69+'Jan. 2017'!H69+'Feb. 2017'!H69+'March 2017'!H69+'April 2017'!H69+'May 2017'!H69+'June 2017'!H69)</f>
        <v>11</v>
      </c>
      <c r="I69" s="122">
        <f>SUM('July 2016'!I69+'Aug 2016'!I69+'Sept 2016'!I69+'Oct. 2016'!I69+'Nov. 2016'!I69+'Dec. 2016'!I69+'Jan. 2017'!I69+'Feb. 2017'!I69+'March 2017'!I69+'April 2017'!I69+'May 2017'!I69+'June 2017'!I69)</f>
        <v>0</v>
      </c>
      <c r="J69" s="122">
        <f>SUM('July 2016'!J69+'Aug 2016'!J69+'Sept 2016'!J69+'Oct. 2016'!J69+'Nov. 2016'!J69+'Dec. 2016'!J69+'Jan. 2017'!J69+'Feb. 2017'!J69+'March 2017'!J69+'April 2017'!J69+'May 2017'!J69+'June 2017'!J69)</f>
        <v>45</v>
      </c>
      <c r="K69" s="122">
        <f>SUM('July 2016'!K69+'Aug 2016'!K69+'Sept 2016'!K69+'Oct. 2016'!K69+'Nov. 2016'!K69+'Dec. 2016'!K69+'Jan. 2017'!K69+'Feb. 2017'!K69+'March 2017'!K69+'April 2017'!K69+'May 2017'!K69+'June 2017'!K69)</f>
        <v>0</v>
      </c>
      <c r="L69" s="130">
        <f t="shared" si="5"/>
        <v>265</v>
      </c>
    </row>
    <row r="70" spans="1:13" x14ac:dyDescent="0.2">
      <c r="B70" s="100" t="s">
        <v>152</v>
      </c>
      <c r="C70" s="122">
        <f>SUM('July 2016'!C70+'Aug 2016'!C70+'Sept 2016'!C70+'Oct. 2016'!C70+'Nov. 2016'!C70+'Dec. 2016'!C70+'Jan. 2017'!C70+'Feb. 2017'!C70+'March 2017'!C70+'April 2017'!C70+'May 2017'!C70+'June 2017'!C70)</f>
        <v>1</v>
      </c>
      <c r="D70" s="122">
        <f>SUM('July 2016'!D70+'Aug 2016'!D70+'Sept 2016'!D70+'Oct. 2016'!D70+'Nov. 2016'!D70+'Dec. 2016'!D70+'Jan. 2017'!D70+'Feb. 2017'!D70+'March 2017'!D70+'April 2017'!D70+'May 2017'!D70+'June 2017'!D70)</f>
        <v>0</v>
      </c>
      <c r="E70" s="122">
        <f>SUM('July 2016'!E70+'Aug 2016'!E70+'Sept 2016'!E70+'Oct. 2016'!E70+'Nov. 2016'!E70+'Dec. 2016'!E70+'Jan. 2017'!E70+'Feb. 2017'!E70+'March 2017'!E70+'April 2017'!E70+'May 2017'!E70+'June 2017'!E70)</f>
        <v>5</v>
      </c>
      <c r="F70" s="122">
        <f>SUM('July 2016'!F70+'Aug 2016'!F70+'Sept 2016'!F70+'Oct. 2016'!F70+'Nov. 2016'!F70+'Dec. 2016'!F70+'Jan. 2017'!F70+'Feb. 2017'!F70+'March 2017'!F70+'April 2017'!F70+'May 2017'!F70+'June 2017'!F70)</f>
        <v>5</v>
      </c>
      <c r="G70" s="122">
        <f>SUM('July 2016'!G70+'Aug 2016'!G70+'Sept 2016'!G70+'Oct. 2016'!G70+'Nov. 2016'!G70+'Dec. 2016'!G70+'Jan. 2017'!G70+'Feb. 2017'!G70+'March 2017'!G70+'April 2017'!G70+'May 2017'!G70+'June 2017'!G70)</f>
        <v>5</v>
      </c>
      <c r="H70" s="122">
        <f>SUM('July 2016'!H70+'Aug 2016'!H70+'Sept 2016'!H70+'Oct. 2016'!H70+'Nov. 2016'!H70+'Dec. 2016'!H70+'Jan. 2017'!H70+'Feb. 2017'!H70+'March 2017'!H70+'April 2017'!H70+'May 2017'!H70+'June 2017'!H70)</f>
        <v>0</v>
      </c>
      <c r="I70" s="122">
        <f>SUM('July 2016'!I70+'Aug 2016'!I70+'Sept 2016'!I70+'Oct. 2016'!I70+'Nov. 2016'!I70+'Dec. 2016'!I70+'Jan. 2017'!I70+'Feb. 2017'!I70+'March 2017'!I70+'April 2017'!I70+'May 2017'!I70+'June 2017'!I70)</f>
        <v>1</v>
      </c>
      <c r="J70" s="122">
        <f>SUM('July 2016'!J70+'Aug 2016'!J70+'Sept 2016'!J70+'Oct. 2016'!J70+'Nov. 2016'!J70+'Dec. 2016'!J70+'Jan. 2017'!J70+'Feb. 2017'!J70+'March 2017'!J70+'April 2017'!J70+'May 2017'!J70+'June 2017'!J70)</f>
        <v>4</v>
      </c>
      <c r="K70" s="122">
        <f>SUM('July 2016'!K70+'Aug 2016'!K70+'Sept 2016'!K70+'Oct. 2016'!K70+'Nov. 2016'!K70+'Dec. 2016'!K70+'Jan. 2017'!K70+'Feb. 2017'!K70+'March 2017'!K70+'April 2017'!K70+'May 2017'!K70+'June 2017'!K70)</f>
        <v>0</v>
      </c>
      <c r="L70" s="130">
        <f t="shared" si="5"/>
        <v>21</v>
      </c>
    </row>
    <row r="71" spans="1:13" x14ac:dyDescent="0.2">
      <c r="B71" s="100" t="s">
        <v>43</v>
      </c>
      <c r="C71" s="122">
        <f>SUM('July 2016'!C71+'Aug 2016'!C71+'Sept 2016'!C71+'Oct. 2016'!C71+'Nov. 2016'!C71+'Dec. 2016'!C71+'Jan. 2017'!C71+'Feb. 2017'!C71+'March 2017'!C71+'April 2017'!C71+'May 2017'!C71+'June 2017'!C71)</f>
        <v>9</v>
      </c>
      <c r="D71" s="122">
        <f>SUM('July 2016'!D71+'Aug 2016'!D71+'Sept 2016'!D71+'Oct. 2016'!D71+'Nov. 2016'!D71+'Dec. 2016'!D71+'Jan. 2017'!D71+'Feb. 2017'!D71+'March 2017'!D71+'April 2017'!D71+'May 2017'!D71+'June 2017'!D71)</f>
        <v>25</v>
      </c>
      <c r="E71" s="122">
        <f>SUM('July 2016'!E71+'Aug 2016'!E71+'Sept 2016'!E71+'Oct. 2016'!E71+'Nov. 2016'!E71+'Dec. 2016'!E71+'Jan. 2017'!E71+'Feb. 2017'!E71+'March 2017'!E71+'April 2017'!E71+'May 2017'!E71+'June 2017'!E71)</f>
        <v>74</v>
      </c>
      <c r="F71" s="122">
        <f>SUM('July 2016'!F71+'Aug 2016'!F71+'Sept 2016'!F71+'Oct. 2016'!F71+'Nov. 2016'!F71+'Dec. 2016'!F71+'Jan. 2017'!F71+'Feb. 2017'!F71+'March 2017'!F71+'April 2017'!F71+'May 2017'!F71+'June 2017'!F71)</f>
        <v>79</v>
      </c>
      <c r="G71" s="122">
        <f>SUM('July 2016'!G71+'Aug 2016'!G71+'Sept 2016'!G71+'Oct. 2016'!G71+'Nov. 2016'!G71+'Dec. 2016'!G71+'Jan. 2017'!G71+'Feb. 2017'!G71+'March 2017'!G71+'April 2017'!G71+'May 2017'!G71+'June 2017'!G71)</f>
        <v>55</v>
      </c>
      <c r="H71" s="122">
        <f>SUM('July 2016'!H71+'Aug 2016'!H71+'Sept 2016'!H71+'Oct. 2016'!H71+'Nov. 2016'!H71+'Dec. 2016'!H71+'Jan. 2017'!H71+'Feb. 2017'!H71+'March 2017'!H71+'April 2017'!H71+'May 2017'!H71+'June 2017'!H71)</f>
        <v>26</v>
      </c>
      <c r="I71" s="122">
        <f>SUM('July 2016'!I71+'Aug 2016'!I71+'Sept 2016'!I71+'Oct. 2016'!I71+'Nov. 2016'!I71+'Dec. 2016'!I71+'Jan. 2017'!I71+'Feb. 2017'!I71+'March 2017'!I71+'April 2017'!I71+'May 2017'!I71+'June 2017'!I71)</f>
        <v>8</v>
      </c>
      <c r="J71" s="122">
        <f>SUM('July 2016'!J71+'Aug 2016'!J71+'Sept 2016'!J71+'Oct. 2016'!J71+'Nov. 2016'!J71+'Dec. 2016'!J71+'Jan. 2017'!J71+'Feb. 2017'!J71+'March 2017'!J71+'April 2017'!J71+'May 2017'!J71+'June 2017'!J71)</f>
        <v>109</v>
      </c>
      <c r="K71" s="122">
        <f>SUM('July 2016'!K71+'Aug 2016'!K71+'Sept 2016'!K71+'Oct. 2016'!K71+'Nov. 2016'!K71+'Dec. 2016'!K71+'Jan. 2017'!K71+'Feb. 2017'!K71+'March 2017'!K71+'April 2017'!K71+'May 2017'!K71+'June 2017'!K71)</f>
        <v>41</v>
      </c>
      <c r="L71" s="130">
        <f t="shared" si="5"/>
        <v>426</v>
      </c>
    </row>
    <row r="72" spans="1:13" x14ac:dyDescent="0.2">
      <c r="B72" s="100" t="s">
        <v>42</v>
      </c>
      <c r="C72" s="122">
        <f>SUM('July 2016'!C72+'Aug 2016'!C72+'Sept 2016'!C72+'Oct. 2016'!C72+'Nov. 2016'!C72+'Dec. 2016'!C72+'Jan. 2017'!C72+'Feb. 2017'!C72+'March 2017'!C72+'April 2017'!C72+'May 2017'!C72+'June 2017'!C72)</f>
        <v>13</v>
      </c>
      <c r="D72" s="122">
        <f>SUM('July 2016'!D72+'Aug 2016'!D72+'Sept 2016'!D72+'Oct. 2016'!D72+'Nov. 2016'!D72+'Dec. 2016'!D72+'Jan. 2017'!D72+'Feb. 2017'!D72+'March 2017'!D72+'April 2017'!D72+'May 2017'!D72+'June 2017'!D72)</f>
        <v>3</v>
      </c>
      <c r="E72" s="122">
        <f>SUM('July 2016'!E72+'Aug 2016'!E72+'Sept 2016'!E72+'Oct. 2016'!E72+'Nov. 2016'!E72+'Dec. 2016'!E72+'Jan. 2017'!E72+'Feb. 2017'!E72+'March 2017'!E72+'April 2017'!E72+'May 2017'!E72+'June 2017'!E72)</f>
        <v>34</v>
      </c>
      <c r="F72" s="122">
        <f>SUM('July 2016'!F72+'Aug 2016'!F72+'Sept 2016'!F72+'Oct. 2016'!F72+'Nov. 2016'!F72+'Dec. 2016'!F72+'Jan. 2017'!F72+'Feb. 2017'!F72+'March 2017'!F72+'April 2017'!F72+'May 2017'!F72+'June 2017'!F72)</f>
        <v>30</v>
      </c>
      <c r="G72" s="122">
        <f>SUM('July 2016'!G72+'Aug 2016'!G72+'Sept 2016'!G72+'Oct. 2016'!G72+'Nov. 2016'!G72+'Dec. 2016'!G72+'Jan. 2017'!G72+'Feb. 2017'!G72+'March 2017'!G72+'April 2017'!G72+'May 2017'!G72+'June 2017'!G72)</f>
        <v>18</v>
      </c>
      <c r="H72" s="122">
        <f>SUM('July 2016'!H72+'Aug 2016'!H72+'Sept 2016'!H72+'Oct. 2016'!H72+'Nov. 2016'!H72+'Dec. 2016'!H72+'Jan. 2017'!H72+'Feb. 2017'!H72+'March 2017'!H72+'April 2017'!H72+'May 2017'!H72+'June 2017'!H72)</f>
        <v>5</v>
      </c>
      <c r="I72" s="122">
        <f>SUM('July 2016'!I72+'Aug 2016'!I72+'Sept 2016'!I72+'Oct. 2016'!I72+'Nov. 2016'!I72+'Dec. 2016'!I72+'Jan. 2017'!I72+'Feb. 2017'!I72+'March 2017'!I72+'April 2017'!I72+'May 2017'!I72+'June 2017'!I72)</f>
        <v>2</v>
      </c>
      <c r="J72" s="122">
        <f>SUM('July 2016'!J72+'Aug 2016'!J72+'Sept 2016'!J72+'Oct. 2016'!J72+'Nov. 2016'!J72+'Dec. 2016'!J72+'Jan. 2017'!J72+'Feb. 2017'!J72+'March 2017'!J72+'April 2017'!J72+'May 2017'!J72+'June 2017'!J72)</f>
        <v>57</v>
      </c>
      <c r="K72" s="122">
        <f>SUM('July 2016'!K72+'Aug 2016'!K72+'Sept 2016'!K72+'Oct. 2016'!K72+'Nov. 2016'!K72+'Dec. 2016'!K72+'Jan. 2017'!K72+'Feb. 2017'!K72+'March 2017'!K72+'April 2017'!K72+'May 2017'!K72+'June 2017'!K72)</f>
        <v>25</v>
      </c>
      <c r="L72" s="130">
        <f t="shared" si="5"/>
        <v>187</v>
      </c>
    </row>
    <row r="73" spans="1:13" x14ac:dyDescent="0.2">
      <c r="B73" s="100" t="s">
        <v>114</v>
      </c>
      <c r="C73" s="122">
        <f>SUM('July 2016'!C73+'Aug 2016'!C73+'Sept 2016'!C73+'Oct. 2016'!C73+'Nov. 2016'!C73+'Dec. 2016'!C73+'Jan. 2017'!C73+'Feb. 2017'!C73+'March 2017'!C73+'April 2017'!C73+'May 2017'!C73+'June 2017'!C73)</f>
        <v>0</v>
      </c>
      <c r="D73" s="122">
        <f>SUM('July 2016'!D73+'Aug 2016'!D73+'Sept 2016'!D73+'Oct. 2016'!D73+'Nov. 2016'!D73+'Dec. 2016'!D73+'Jan. 2017'!D73+'Feb. 2017'!D73+'March 2017'!D73+'April 2017'!D73+'May 2017'!D73+'June 2017'!D73)</f>
        <v>0</v>
      </c>
      <c r="E73" s="122">
        <f>SUM('July 2016'!E73+'Aug 2016'!E73+'Sept 2016'!E73+'Oct. 2016'!E73+'Nov. 2016'!E73+'Dec. 2016'!E73+'Jan. 2017'!E73+'Feb. 2017'!E73+'March 2017'!E73+'April 2017'!E73+'May 2017'!E73+'June 2017'!E73)</f>
        <v>0</v>
      </c>
      <c r="F73" s="122">
        <f>SUM('July 2016'!F73+'Aug 2016'!F73+'Sept 2016'!F73+'Oct. 2016'!F73+'Nov. 2016'!F73+'Dec. 2016'!F73+'Jan. 2017'!F73+'Feb. 2017'!F73+'March 2017'!F73+'April 2017'!F73+'May 2017'!F73+'June 2017'!F73)</f>
        <v>0</v>
      </c>
      <c r="G73" s="122">
        <f>SUM('July 2016'!G73+'Aug 2016'!G73+'Sept 2016'!G73+'Oct. 2016'!G73+'Nov. 2016'!G73+'Dec. 2016'!G73+'Jan. 2017'!G73+'Feb. 2017'!G73+'March 2017'!G73+'April 2017'!G73+'May 2017'!G73+'June 2017'!G73)</f>
        <v>0</v>
      </c>
      <c r="H73" s="122">
        <f>SUM('July 2016'!H73+'Aug 2016'!H73+'Sept 2016'!H73+'Oct. 2016'!H73+'Nov. 2016'!H73+'Dec. 2016'!H73+'Jan. 2017'!H73+'Feb. 2017'!H73+'March 2017'!H73+'April 2017'!H73+'May 2017'!H73+'June 2017'!H73)</f>
        <v>0</v>
      </c>
      <c r="I73" s="122">
        <f>SUM('July 2016'!I73+'Aug 2016'!I73+'Sept 2016'!I73+'Oct. 2016'!I73+'Nov. 2016'!I73+'Dec. 2016'!I73+'Jan. 2017'!I73+'Feb. 2017'!I73+'March 2017'!I73+'April 2017'!I73+'May 2017'!I73+'June 2017'!I73)</f>
        <v>0</v>
      </c>
      <c r="J73" s="122">
        <f>SUM('July 2016'!J73+'Aug 2016'!J73+'Sept 2016'!J73+'Oct. 2016'!J73+'Nov. 2016'!J73+'Dec. 2016'!J73+'Jan. 2017'!J73+'Feb. 2017'!J73+'March 2017'!J73+'April 2017'!J73+'May 2017'!J73+'June 2017'!J73)</f>
        <v>0</v>
      </c>
      <c r="K73" s="122">
        <f>SUM('July 2016'!K73+'Aug 2016'!K73+'Sept 2016'!K73+'Oct. 2016'!K73+'Nov. 2016'!K73+'Dec. 2016'!K73+'Jan. 2017'!K73+'Feb. 2017'!K73+'March 2017'!K73+'April 2017'!K73+'May 2017'!K73+'June 2017'!K73)</f>
        <v>1</v>
      </c>
      <c r="L73" s="130">
        <f t="shared" si="5"/>
        <v>1</v>
      </c>
    </row>
    <row r="74" spans="1:13" x14ac:dyDescent="0.2">
      <c r="B74" s="111" t="s">
        <v>72</v>
      </c>
      <c r="C74" s="122">
        <f>SUM('July 2016'!C74+'Aug 2016'!C74+'Sept 2016'!C74+'Oct. 2016'!C74+'Nov. 2016'!C74+'Dec. 2016'!C74+'Jan. 2017'!C74+'Feb. 2017'!C74+'March 2017'!C74+'April 2017'!C74+'May 2017'!C74+'June 2017'!C74)</f>
        <v>1</v>
      </c>
      <c r="D74" s="122">
        <f>SUM('July 2016'!D74+'Aug 2016'!D74+'Sept 2016'!D74+'Oct. 2016'!D74+'Nov. 2016'!D74+'Dec. 2016'!D74+'Jan. 2017'!D74+'Feb. 2017'!D74+'March 2017'!D74+'April 2017'!D74+'May 2017'!D74+'June 2017'!D74)</f>
        <v>0</v>
      </c>
      <c r="E74" s="122">
        <f>SUM('July 2016'!E74+'Aug 2016'!E74+'Sept 2016'!E74+'Oct. 2016'!E74+'Nov. 2016'!E74+'Dec. 2016'!E74+'Jan. 2017'!E74+'Feb. 2017'!E74+'March 2017'!E74+'April 2017'!E74+'May 2017'!E74+'June 2017'!E74)</f>
        <v>1</v>
      </c>
      <c r="F74" s="122">
        <f>SUM('July 2016'!F74+'Aug 2016'!F74+'Sept 2016'!F74+'Oct. 2016'!F74+'Nov. 2016'!F74+'Dec. 2016'!F74+'Jan. 2017'!F74+'Feb. 2017'!F74+'March 2017'!F74+'April 2017'!F74+'May 2017'!F74+'June 2017'!F74)</f>
        <v>5</v>
      </c>
      <c r="G74" s="122">
        <f>SUM('July 2016'!G74+'Aug 2016'!G74+'Sept 2016'!G74+'Oct. 2016'!G74+'Nov. 2016'!G74+'Dec. 2016'!G74+'Jan. 2017'!G74+'Feb. 2017'!G74+'March 2017'!G74+'April 2017'!G74+'May 2017'!G74+'June 2017'!G74)</f>
        <v>3</v>
      </c>
      <c r="H74" s="122">
        <f>SUM('July 2016'!H74+'Aug 2016'!H74+'Sept 2016'!H74+'Oct. 2016'!H74+'Nov. 2016'!H74+'Dec. 2016'!H74+'Jan. 2017'!H74+'Feb. 2017'!H74+'March 2017'!H74+'April 2017'!H74+'May 2017'!H74+'June 2017'!H74)</f>
        <v>0</v>
      </c>
      <c r="I74" s="122">
        <f>SUM('July 2016'!I74+'Aug 2016'!I74+'Sept 2016'!I74+'Oct. 2016'!I74+'Nov. 2016'!I74+'Dec. 2016'!I74+'Jan. 2017'!I74+'Feb. 2017'!I74+'March 2017'!I74+'April 2017'!I74+'May 2017'!I74+'June 2017'!I74)</f>
        <v>0</v>
      </c>
      <c r="J74" s="122">
        <f>SUM('July 2016'!J74+'Aug 2016'!J74+'Sept 2016'!J74+'Oct. 2016'!J74+'Nov. 2016'!J74+'Dec. 2016'!J74+'Jan. 2017'!J74+'Feb. 2017'!J74+'March 2017'!J74+'April 2017'!J74+'May 2017'!J74+'June 2017'!J74)</f>
        <v>1</v>
      </c>
      <c r="K74" s="122">
        <f>SUM('July 2016'!K74+'Aug 2016'!K74+'Sept 2016'!K74+'Oct. 2016'!K74+'Nov. 2016'!K74+'Dec. 2016'!K74+'Jan. 2017'!K74+'Feb. 2017'!K74+'March 2017'!K74+'April 2017'!K74+'May 2017'!K74+'June 2017'!K74)</f>
        <v>1</v>
      </c>
      <c r="L74" s="130">
        <f t="shared" si="5"/>
        <v>12</v>
      </c>
    </row>
    <row r="75" spans="1:13" ht="13.5" thickBot="1" x14ac:dyDescent="0.25">
      <c r="B75" s="66" t="s">
        <v>66</v>
      </c>
      <c r="C75" s="184">
        <f>SUM('July 2016'!C75+'Aug 2016'!C75+'Sept 2016'!C75+'Oct. 2016'!C75+'Nov. 2016'!C75+'Dec. 2016'!C75+'Jan. 2017'!C75+'Feb. 2017'!C75+'March 2017'!C75+'April 2017'!C75+'May 2017'!C75+'June 2017'!C75)</f>
        <v>0</v>
      </c>
      <c r="D75" s="184">
        <f>SUM('July 2016'!D75+'Aug 2016'!D75+'Sept 2016'!D75+'Oct. 2016'!D75+'Nov. 2016'!D75+'Dec. 2016'!D75+'Jan. 2017'!D75+'Feb. 2017'!D75+'March 2017'!D75+'April 2017'!D75+'May 2017'!D75+'June 2017'!D75)</f>
        <v>0</v>
      </c>
      <c r="E75" s="184">
        <f>SUM('July 2016'!E75+'Aug 2016'!E75+'Sept 2016'!E75+'Oct. 2016'!E75+'Nov. 2016'!E75+'Dec. 2016'!E75+'Jan. 2017'!E75+'Feb. 2017'!E75+'March 2017'!E75+'April 2017'!E75+'May 2017'!E75+'June 2017'!E75)</f>
        <v>2</v>
      </c>
      <c r="F75" s="184">
        <f>SUM('July 2016'!F75+'Aug 2016'!F75+'Sept 2016'!F75+'Oct. 2016'!F75+'Nov. 2016'!F75+'Dec. 2016'!F75+'Jan. 2017'!F75+'Feb. 2017'!F75+'March 2017'!F75+'April 2017'!F75+'May 2017'!F75+'June 2017'!F75)</f>
        <v>26</v>
      </c>
      <c r="G75" s="184">
        <f>SUM('July 2016'!G75+'Aug 2016'!G75+'Sept 2016'!G75+'Oct. 2016'!G75+'Nov. 2016'!G75+'Dec. 2016'!G75+'Jan. 2017'!G75+'Feb. 2017'!G75+'March 2017'!G75+'April 2017'!G75+'May 2017'!G75+'June 2017'!G75)</f>
        <v>34</v>
      </c>
      <c r="H75" s="184">
        <f>SUM('July 2016'!H75+'Aug 2016'!H75+'Sept 2016'!H75+'Oct. 2016'!H75+'Nov. 2016'!H75+'Dec. 2016'!H75+'Jan. 2017'!H75+'Feb. 2017'!H75+'March 2017'!H75+'April 2017'!H75+'May 2017'!H75+'June 2017'!H75)</f>
        <v>1</v>
      </c>
      <c r="I75" s="184">
        <f>SUM('July 2016'!I75+'Aug 2016'!I75+'Sept 2016'!I75+'Oct. 2016'!I75+'Nov. 2016'!I75+'Dec. 2016'!I75+'Jan. 2017'!I75+'Feb. 2017'!I75+'March 2017'!I75+'April 2017'!I75+'May 2017'!I75+'June 2017'!I75)</f>
        <v>0</v>
      </c>
      <c r="J75" s="184">
        <f>SUM('July 2016'!J75+'Aug 2016'!J75+'Sept 2016'!J75+'Oct. 2016'!J75+'Nov. 2016'!J75+'Dec. 2016'!J75+'Jan. 2017'!J75+'Feb. 2017'!J75+'March 2017'!J75+'April 2017'!J75+'May 2017'!J75+'June 2017'!J75)</f>
        <v>56</v>
      </c>
      <c r="K75" s="184">
        <f>SUM('July 2016'!K75+'Aug 2016'!K75+'Sept 2016'!K75+'Oct. 2016'!K75+'Nov. 2016'!K75+'Dec. 2016'!K75+'Jan. 2017'!K75+'Feb. 2017'!K75+'March 2017'!K75+'April 2017'!K75+'May 2017'!K75+'June 2017'!K75)</f>
        <v>0</v>
      </c>
      <c r="L75" s="176">
        <f t="shared" si="5"/>
        <v>119</v>
      </c>
    </row>
    <row r="76" spans="1:13" ht="14.25" thickTop="1" thickBot="1" x14ac:dyDescent="0.25">
      <c r="B76" s="58" t="s">
        <v>7</v>
      </c>
      <c r="C76" s="184">
        <f>SUM(C49:C75)</f>
        <v>222</v>
      </c>
      <c r="D76" s="38">
        <f t="shared" ref="D76:L76" si="6">SUM(D49:D75)</f>
        <v>278</v>
      </c>
      <c r="E76" s="38">
        <f t="shared" si="6"/>
        <v>748</v>
      </c>
      <c r="F76" s="38">
        <f t="shared" si="6"/>
        <v>1072</v>
      </c>
      <c r="G76" s="38">
        <f t="shared" si="6"/>
        <v>683</v>
      </c>
      <c r="H76" s="38">
        <f t="shared" si="6"/>
        <v>224</v>
      </c>
      <c r="I76" s="38">
        <f t="shared" si="6"/>
        <v>87</v>
      </c>
      <c r="J76" s="38">
        <f t="shared" si="6"/>
        <v>1750</v>
      </c>
      <c r="K76" s="38">
        <f t="shared" si="6"/>
        <v>410</v>
      </c>
      <c r="L76" s="38">
        <f t="shared" si="6"/>
        <v>5474</v>
      </c>
    </row>
    <row r="77" spans="1:13" ht="13.5" thickTop="1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 t="s">
        <v>483</v>
      </c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85</v>
      </c>
      <c r="K79" s="43" t="s">
        <v>29</v>
      </c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67" t="s">
        <v>131</v>
      </c>
      <c r="K80" s="29" t="s">
        <v>33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46390</v>
      </c>
      <c r="C82" s="29">
        <f>78+42+23</f>
        <v>143</v>
      </c>
      <c r="D82" s="29">
        <v>1350</v>
      </c>
      <c r="E82" s="4">
        <f>4+43+14+8+78+24+30+67+30+1</f>
        <v>299</v>
      </c>
      <c r="F82" s="4">
        <f>49+3+18+4+1+5+4+5+2+33+16+11+4+66+3+4+3+10+2+6+19+14+4+8+1+15+2+21+7+1+6+3+12+8+9+3+24+5+2+2+3+2+9</f>
        <v>429</v>
      </c>
      <c r="G82" s="29">
        <v>280</v>
      </c>
      <c r="H82" s="4">
        <f>21+175+3054</f>
        <v>3250</v>
      </c>
      <c r="I82" s="4">
        <v>18</v>
      </c>
      <c r="J82" s="29">
        <v>17</v>
      </c>
      <c r="K82" s="4">
        <v>6</v>
      </c>
      <c r="L82" s="29">
        <f>2024+4466+172</f>
        <v>6662</v>
      </c>
      <c r="M82" s="36">
        <f>SUM(B82:L82)</f>
        <v>58844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I84" s="29"/>
      <c r="J84" s="29"/>
      <c r="K84" s="29" t="s">
        <v>482</v>
      </c>
      <c r="L84" s="29"/>
    </row>
    <row r="85" spans="1:13" x14ac:dyDescent="0.2">
      <c r="A85" s="29"/>
      <c r="B85" s="29"/>
      <c r="C85" s="29"/>
      <c r="D85" s="29"/>
      <c r="E85" s="29"/>
      <c r="F85" s="29"/>
      <c r="G85" s="47"/>
      <c r="H85" s="29"/>
      <c r="I85" s="29"/>
      <c r="J85" s="29"/>
      <c r="K85" s="29" t="s">
        <v>214</v>
      </c>
      <c r="L85" s="29"/>
    </row>
    <row r="86" spans="1:13" x14ac:dyDescent="0.2">
      <c r="A86" s="137" t="s">
        <v>86</v>
      </c>
      <c r="B86" s="138"/>
      <c r="C86" s="64">
        <f>SUM('July 2016'!C86+'Aug 2016'!C86+'Sept 2016'!C86+'Oct. 2016'!C86+'Nov. 2016'!C86+'Dec. 2016'!C86+'Jan. 2017'!C86+'Feb. 2017'!C86+'March 2017'!C86+'April 2017'!C86+'May 2017'!C86+'June 2017'!C86)</f>
        <v>2812</v>
      </c>
      <c r="F86" s="137" t="s">
        <v>48</v>
      </c>
      <c r="G86" s="138"/>
      <c r="H86" s="64">
        <f>SUM('July 2016'!H86+'Aug 2016'!H86+'Sept 2016'!H86+'Oct. 2016'!H86+'Nov. 2016'!H86+'Dec. 2016'!H86+'Jan. 2017'!H86+'Feb. 2017'!H86+'March 2017'!H86+'April 2017'!H86+'May 2017'!H86+'June 2017'!H86)</f>
        <v>1155</v>
      </c>
      <c r="J86" s="137" t="s">
        <v>73</v>
      </c>
      <c r="K86" s="142"/>
      <c r="L86" s="142"/>
      <c r="M86" s="34">
        <f>SUM('July 2016'!M86+'Aug 2016'!M86+'Sept 2016'!M86+'Oct. 2016'!M86+'Nov. 2016'!M86+'Dec. 2016'!M86+'Jan. 2017'!M86+'Feb. 2017'!M86+'March 2017'!M86+'April 2017'!M86+'May 2017'!M86+'June 2017'!M86)</f>
        <v>85</v>
      </c>
    </row>
    <row r="87" spans="1:13" x14ac:dyDescent="0.2">
      <c r="A87" s="153" t="s">
        <v>81</v>
      </c>
      <c r="B87" s="150"/>
      <c r="C87" s="42">
        <f>SUM('July 2016'!C87+'Aug 2016'!C87+'Sept 2016'!C87+'Oct. 2016'!C87+'Nov. 2016'!C87+'Dec. 2016'!C87+'Jan. 2017'!C87+'Feb. 2017'!C87+'March 2017'!C87+'April 2017'!C87+'May 2017'!C87+'June 2017'!C87)</f>
        <v>1354</v>
      </c>
      <c r="F87" s="140" t="s">
        <v>49</v>
      </c>
      <c r="G87" s="141"/>
      <c r="H87" s="65">
        <f>SUM('July 2016'!H87+'Aug 2016'!H87+'Sept 2016'!H87+'Oct. 2016'!H87+'Nov. 2016'!H87+'Dec. 2016'!H87+'Jan. 2017'!H87+'Feb. 2017'!H87+'March 2017'!H87+'April 2017'!H87+'May 2017'!H87+'June 2017'!H87)</f>
        <v>1155</v>
      </c>
      <c r="J87" s="140" t="s">
        <v>74</v>
      </c>
      <c r="K87" s="152"/>
      <c r="L87" s="152"/>
      <c r="M87" s="39">
        <f>SUM('July 2016'!M87+'Aug 2016'!M87+'Sept 2016'!M87+'Oct. 2016'!M87+'Nov. 2016'!M87+'Dec. 2016'!M87+'Jan. 2017'!M87+'Feb. 2017'!M87+'March 2017'!M87+'April 2017'!M87+'May 2017'!M87+'June 2017'!M87)</f>
        <v>55</v>
      </c>
    </row>
    <row r="88" spans="1:13" x14ac:dyDescent="0.2">
      <c r="A88" s="140" t="s">
        <v>87</v>
      </c>
      <c r="B88" s="152"/>
      <c r="C88" s="65">
        <f>SUM('July 2016'!C88+'Aug 2016'!C88+'Sept 2016'!C88+'Oct. 2016'!C88+'Nov. 2016'!C88+'Dec. 2016'!C88+'Jan. 2017'!C88+'Feb. 2017'!C88+'March 2017'!C88+'April 2017'!C88+'May 2017'!C88+'June 2017'!C88)</f>
        <v>8758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f>SUM('July 2016'!C91+'Aug 2016'!C91+'Sept 2016'!C91+'Oct. 2016'!C91+'Nov. 2016'!C91+'Dec. 2016'!C91+'Jan. 2017'!C91+'Feb. 2017'!C91+'March 2017'!C91+'April 2017'!C91+'May 2017'!C91+'June 2017'!C91)</f>
        <v>92</v>
      </c>
      <c r="D91" s="6"/>
      <c r="E91" s="31" t="s">
        <v>9</v>
      </c>
      <c r="F91" s="29"/>
      <c r="G91" s="36">
        <f>SUM('July 2016'!G91+'Aug 2016'!G91+'Sept 2016'!G91+'Oct. 2016'!G91+'Nov. 2016'!G91+'Dec. 2016'!G91+'Jan. 2017'!G91+'Feb. 2017'!G91+'March 2017'!G91+'April 2017'!G91+'May 2017'!G91+'June 2017'!G91)</f>
        <v>6334</v>
      </c>
      <c r="I91" s="35" t="s">
        <v>127</v>
      </c>
      <c r="J91" s="29"/>
      <c r="K91" s="29"/>
      <c r="L91" s="36">
        <f>SUM('July 2016'!L91+'Aug 2016'!L91+'Sept 2016'!L91+'Oct. 2016'!L91+'Nov. 2016'!L91+'Dec. 2016'!L91+'Jan. 2017'!L91+'Feb. 2017'!L91+'March 2017'!L91+'April 2017'!L91+'May 2017'!L91+'June 2017'!L91)</f>
        <v>8351</v>
      </c>
      <c r="M91" s="6"/>
    </row>
    <row r="92" spans="1:13" x14ac:dyDescent="0.2">
      <c r="A92" s="35" t="s">
        <v>28</v>
      </c>
      <c r="B92" s="29"/>
      <c r="C92" s="36">
        <f>SUM('July 2016'!C92+'Aug 2016'!C92+'Sept 2016'!C92+'Oct. 2016'!C92+'Nov. 2016'!C92+'Dec. 2016'!C92+'Jan. 2017'!C92+'Feb. 2017'!C92+'March 2017'!C92+'April 2017'!C92+'May 2017'!C92+'June 2017'!C92)</f>
        <v>17</v>
      </c>
      <c r="D92" s="6"/>
      <c r="E92" s="31" t="s">
        <v>10</v>
      </c>
      <c r="F92" s="29"/>
      <c r="G92" s="36">
        <f>SUM('July 2016'!G92+'Aug 2016'!G92+'Sept 2016'!G92+'Oct. 2016'!G92+'Nov. 2016'!G92+'Dec. 2016'!G92+'Jan. 2017'!G92+'Feb. 2017'!G92+'March 2017'!G92+'April 2017'!G92+'May 2017'!G92+'June 2017'!G92)</f>
        <v>2166</v>
      </c>
      <c r="I92" s="35" t="s">
        <v>128</v>
      </c>
      <c r="J92" s="29"/>
      <c r="K92" s="29"/>
      <c r="L92" s="36">
        <f>SUM('July 2016'!L92+'Aug 2016'!L92+'Sept 2016'!L92+'Oct. 2016'!L92+'Nov. 2016'!L92+'Dec. 2016'!L92+'Jan. 2017'!L92+'Feb. 2017'!L92+'March 2017'!L92+'April 2017'!L92+'May 2017'!L92+'June 2017'!L92)</f>
        <v>1670</v>
      </c>
      <c r="M92" s="6"/>
    </row>
    <row r="93" spans="1:13" x14ac:dyDescent="0.2">
      <c r="A93" s="35" t="s">
        <v>118</v>
      </c>
      <c r="B93" s="29"/>
      <c r="C93" s="36">
        <f>SUM('July 2016'!C93+'Aug 2016'!C93+'Sept 2016'!C93+'Oct. 2016'!C93+'Nov. 2016'!C93+'Dec. 2016'!C93+'Jan. 2017'!C93+'Feb. 2017'!C93+'March 2017'!C93+'April 2017'!C93+'May 2017'!C93+'June 2017'!C93)</f>
        <v>655</v>
      </c>
      <c r="D93" s="6"/>
      <c r="E93" s="31" t="s">
        <v>11</v>
      </c>
      <c r="F93" s="29"/>
      <c r="G93" s="36">
        <f>SUM('July 2016'!G93+'Aug 2016'!G93+'Sept 2016'!G93+'Oct. 2016'!G93+'Nov. 2016'!G93+'Dec. 2016'!G93+'Jan. 2017'!G93+'Feb. 2017'!G93+'March 2017'!G93+'April 2017'!G93+'May 2017'!G93+'June 2017'!G93)</f>
        <v>289</v>
      </c>
      <c r="I93" s="35" t="s">
        <v>45</v>
      </c>
      <c r="J93" s="29"/>
      <c r="K93" s="29"/>
      <c r="L93" s="36">
        <f>SUM('July 2016'!L93+'Aug 2016'!L93+'Sept 2016'!L93+'Oct. 2016'!L93+'Nov. 2016'!L93+'Dec. 2016'!L93+'Jan. 2017'!L93+'Feb. 2017'!L93+'March 2017'!L93+'April 2017'!L93+'May 2017'!L93+'June 2017'!L93)</f>
        <v>290</v>
      </c>
      <c r="M93" s="6"/>
    </row>
    <row r="94" spans="1:13" x14ac:dyDescent="0.2">
      <c r="A94" s="35" t="s">
        <v>119</v>
      </c>
      <c r="B94" s="47"/>
      <c r="C94" s="36">
        <f>SUM('July 2016'!C94+'Aug 2016'!C94+'Sept 2016'!C94+'Oct. 2016'!C94+'Nov. 2016'!C94+'Dec. 2016'!C94+'Jan. 2017'!C94+'Feb. 2017'!C94+'March 2017'!C94+'April 2017'!C94+'May 2017'!C94+'June 2017'!C94)</f>
        <v>9158</v>
      </c>
      <c r="D94" s="6"/>
      <c r="E94" s="31" t="s">
        <v>37</v>
      </c>
      <c r="F94" s="29"/>
      <c r="G94" s="36">
        <f>SUM('July 2016'!G94+'Aug 2016'!G94+'Sept 2016'!G94+'Oct. 2016'!G94+'Nov. 2016'!G94+'Dec. 2016'!G94+'Jan. 2017'!G94+'Feb. 2017'!G94+'March 2017'!G94+'April 2017'!G94+'May 2017'!G94+'June 2017'!G94)</f>
        <v>3730</v>
      </c>
      <c r="I94" s="35" t="s">
        <v>46</v>
      </c>
      <c r="J94" s="29"/>
      <c r="K94" s="29"/>
      <c r="L94" s="36">
        <f>SUM('July 2016'!L94+'Aug 2016'!L94+'Sept 2016'!L94+'Oct. 2016'!L94+'Nov. 2016'!L94+'Dec. 2016'!L94+'Jan. 2017'!L94+'Feb. 2017'!L94+'March 2017'!L94+'April 2017'!L94+'May 2017'!L94+'June 2017'!L94)</f>
        <v>163</v>
      </c>
      <c r="M94" s="6"/>
    </row>
    <row r="95" spans="1:13" x14ac:dyDescent="0.2">
      <c r="A95" s="35" t="s">
        <v>101</v>
      </c>
      <c r="B95" s="47"/>
      <c r="C95" s="36">
        <f>SUM('July 2016'!C95+'Aug 2016'!C95+'Sept 2016'!C95+'Oct. 2016'!C95+'Nov. 2016'!C95+'Dec. 2016'!C95+'Jan. 2017'!C95+'Feb. 2017'!C95+'March 2017'!C95+'April 2017'!C95+'May 2017'!C95+'June 2017'!C95)</f>
        <v>791</v>
      </c>
      <c r="D95" s="6"/>
      <c r="E95" s="41" t="s">
        <v>38</v>
      </c>
      <c r="F95" s="38"/>
      <c r="G95" s="39">
        <f>SUM('July 2016'!G95+'Aug 2016'!G95+'Sept 2016'!G95+'Oct. 2016'!G95+'Nov. 2016'!G95+'Dec. 2016'!G95+'Jan. 2017'!G95+'Feb. 2017'!G95+'March 2017'!G95+'April 2017'!G95+'May 2017'!G95+'June 2017'!G95)</f>
        <v>3</v>
      </c>
      <c r="I95" s="91" t="s">
        <v>132</v>
      </c>
      <c r="J95" s="38"/>
      <c r="K95" s="38"/>
      <c r="L95" s="39">
        <f>SUM('July 2016'!L95+'Aug 2016'!L95+'Sept 2016'!L95+'Oct. 2016'!L95+'Nov. 2016'!L95+'Dec. 2016'!L95+'Jan. 2017'!L95+'Feb. 2017'!L95+'March 2017'!L95+'April 2017'!L95+'May 2017'!L95+'June 2017'!L95)</f>
        <v>14</v>
      </c>
      <c r="M95" s="6"/>
    </row>
    <row r="96" spans="1:13" x14ac:dyDescent="0.2">
      <c r="A96" s="35" t="s">
        <v>139</v>
      </c>
      <c r="B96" s="47"/>
      <c r="C96" s="36">
        <f>SUM('July 2016'!C96+'Aug 2016'!C96+'Sept 2016'!C96+'Oct. 2016'!C96+'Nov. 2016'!C96+'Dec. 2016'!C96+'Jan. 2017'!C96+'Feb. 2017'!C96+'March 2017'!C96+'April 2017'!C96+'May 2017'!C96+'June 2017'!C96)</f>
        <v>166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f>SUM('July 2016'!C97+'Aug 2016'!C97+'Sept 2016'!C97+'Oct. 2016'!C97+'Nov. 2016'!C97+'Dec. 2016'!C97+'Jan. 2017'!C97+'Feb. 2017'!C97+'March 2017'!C97+'April 2017'!C97+'May 2017'!C97+'June 2017'!C97)</f>
        <v>987</v>
      </c>
    </row>
    <row r="98" spans="1:13" x14ac:dyDescent="0.2">
      <c r="A98" s="35" t="s">
        <v>120</v>
      </c>
      <c r="B98" s="29"/>
      <c r="C98" s="36">
        <f>SUM('July 2016'!C98+'Aug 2016'!C98+'Sept 2016'!C98+'Oct. 2016'!C98+'Nov. 2016'!C98+'Dec. 2016'!C98+'Jan. 2017'!C98+'Feb. 2017'!C98+'March 2017'!C98+'April 2017'!C98+'May 2017'!C98+'June 2017'!C98)</f>
        <v>60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f>SUM('July 2016'!C99+'Aug 2016'!C99+'Sept 2016'!C99+'Oct. 2016'!C99+'Nov. 2016'!C99+'Dec. 2016'!C99+'Jan. 2017'!C99+'Feb. 2017'!C99+'March 2017'!C99+'April 2017'!C99+'May 2017'!C99+'June 2017'!C99)</f>
        <v>1</v>
      </c>
      <c r="E99" s="35" t="s">
        <v>31</v>
      </c>
      <c r="F99" s="50"/>
      <c r="G99" s="50"/>
      <c r="H99" s="42">
        <f>SUM('July 2016'!H99+'Aug 2016'!H99+'Sept 2016'!H99+'Oct. 2016'!H99+'Nov. 2016'!H99+'Dec. 2016'!H99+'Jan. 2017'!H99+'Feb. 2017'!H99+'March 2017'!H99+'April 2017'!H99+'May 2017'!H99+'June 2017'!H99)</f>
        <v>620</v>
      </c>
    </row>
    <row r="100" spans="1:13" x14ac:dyDescent="0.2">
      <c r="A100" s="89" t="s">
        <v>122</v>
      </c>
      <c r="B100" s="47"/>
      <c r="C100" s="36">
        <f>SUM('July 2016'!C100+'Aug 2016'!C100+'Sept 2016'!C100+'Oct. 2016'!C100+'Nov. 2016'!C100+'Dec. 2016'!C100+'Jan. 2017'!C100+'Feb. 2017'!C100+'March 2017'!C100+'April 2017'!C100+'May 2017'!C100+'June 2017'!C100)</f>
        <v>4</v>
      </c>
      <c r="E100" s="35" t="s">
        <v>32</v>
      </c>
      <c r="F100" s="47"/>
      <c r="G100" s="47"/>
      <c r="H100" s="42">
        <f>SUM('July 2016'!H100+'Aug 2016'!H100+'Sept 2016'!H100+'Oct. 2016'!H100+'Nov. 2016'!H100+'Dec. 2016'!H100+'Jan. 2017'!H100+'Feb. 2017'!H100+'March 2017'!H100+'April 2017'!H100+'May 2017'!H100+'June 2017'!H100)</f>
        <v>521</v>
      </c>
    </row>
    <row r="101" spans="1:13" x14ac:dyDescent="0.2">
      <c r="A101" s="89" t="s">
        <v>18</v>
      </c>
      <c r="B101" s="29"/>
      <c r="C101" s="36">
        <f>SUM('July 2016'!C101+'Aug 2016'!C101+'Sept 2016'!C101+'Oct. 2016'!C101+'Nov. 2016'!C101+'Dec. 2016'!C101+'Jan. 2017'!C101+'Feb. 2017'!C101+'March 2017'!C101+'April 2017'!C101+'May 2017'!C101+'June 2017'!C101)</f>
        <v>131</v>
      </c>
      <c r="E101" s="37" t="s">
        <v>47</v>
      </c>
      <c r="F101" s="55"/>
      <c r="G101" s="38"/>
      <c r="H101" s="65">
        <f>SUM('July 2016'!H101+'Aug 2016'!H101+'Sept 2016'!H101+'Oct. 2016'!H101+'Nov. 2016'!H101+'Dec. 2016'!H101+'Jan. 2017'!H101+'Feb. 2017'!H101+'March 2017'!H101+'April 2017'!H101+'May 2017'!H101+'June 2017'!H101)</f>
        <v>0</v>
      </c>
      <c r="I101" s="2"/>
      <c r="J101" s="1"/>
    </row>
    <row r="102" spans="1:13" x14ac:dyDescent="0.2">
      <c r="A102" s="91" t="s">
        <v>345</v>
      </c>
      <c r="B102" s="38"/>
      <c r="C102" s="39">
        <f>SUM('July 2016'!C102+'Aug 2016'!C102+'Sept 2016'!C102+'Oct. 2016'!C102+'Nov. 2016'!C102+'Dec. 2016'!C102+'Jan. 2017'!C102+'Feb. 2017'!C102+'March 2017'!C102+'April 2017'!C102+'May 2017'!C102+'June 2017'!C102)</f>
        <v>8879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137" t="s">
        <v>391</v>
      </c>
      <c r="J103" s="138"/>
      <c r="K103" s="33"/>
      <c r="L103" s="33"/>
      <c r="M103" s="34"/>
    </row>
    <row r="104" spans="1:13" x14ac:dyDescent="0.2">
      <c r="A104" s="79"/>
      <c r="B104" s="29"/>
      <c r="C104" s="29"/>
      <c r="I104" s="37" t="s">
        <v>390</v>
      </c>
      <c r="J104" s="55"/>
      <c r="K104" s="38">
        <f>SUM('July 2016'!K104+'Aug 2016'!K104+'Sept 2016'!K104+'Oct. 2016'!K104+'Nov. 2016'!K104+'Dec. 2016'!K104+'Jan. 2017'!K104+'Feb. 2017'!K104+'March 2017'!K104+'April 2017'!K104+'May 2017'!K104+'June 2017'!K104)</f>
        <v>265</v>
      </c>
      <c r="L104" s="38">
        <f>SUM('July 2016'!L104+'Aug 2016'!L104+'Sept 2016'!L104+'Oct. 2016'!L104+'Nov. 2016'!L104+'Dec. 2016'!L104+'Jan. 2017'!L104+'Feb. 2017'!L104+'March 2017'!L104+'April 2017'!L104+'May 2017'!L104+'June 2017'!L104)</f>
        <v>275</v>
      </c>
      <c r="M104" s="39" t="s">
        <v>392</v>
      </c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346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f>SUM('July 2016'!D107+'Aug 2016'!D107+'Sept 2016'!D107+'Oct. 2016'!D107+'Nov. 2016'!D107+'Dec. 2016'!D107+'Jan. 2017'!D107+'Feb. 2017'!D107+'March 2017'!D107+'April 2017'!D107+'May 2017'!D107+'June 2017'!D107)</f>
        <v>24167</v>
      </c>
      <c r="E107" s="12">
        <f>SUM('July 2016'!E107+'Aug 2016'!E107+'Sept 2016'!E107+'Oct. 2016'!E107+'Nov. 2016'!E107+'Dec. 2016'!E107+'Jan. 2017'!E107+'Feb. 2017'!E107+'March 2017'!E107+'April 2017'!E107+'May 2017'!E107+'June 2017'!E107)</f>
        <v>0</v>
      </c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12">
        <f>SUM('July 2016'!D108+'Aug 2016'!D108+'Sept 2016'!D108+'Oct. 2016'!D108+'Nov. 2016'!D108+'Dec. 2016'!D108+'Jan. 2017'!D108+'Feb. 2017'!D108+'March 2017'!D108+'April 2017'!D108+'May 2017'!D108+'June 2017'!D108)</f>
        <v>9</v>
      </c>
      <c r="E108" s="12">
        <f>SUM('July 2016'!E108+'Aug 2016'!E108+'Sept 2016'!E108+'Oct. 2016'!E108+'Nov. 2016'!E108+'Dec. 2016'!E108+'Jan. 2017'!E108+'Feb. 2017'!E108+'March 2017'!E108+'April 2017'!E108+'May 2017'!E108+'June 2017'!E108)</f>
        <v>2478</v>
      </c>
      <c r="F108" s="31"/>
      <c r="H108" s="1"/>
      <c r="I108" s="60" t="s">
        <v>133</v>
      </c>
      <c r="J108" s="50"/>
      <c r="K108" s="29">
        <f>SUM('July 2016'!K108+'Aug 2016'!K108+'Sept 2016'!K108+'Oct. 2016'!K108+'Nov. 2016'!K108+'Dec. 2016'!K108+'Jan. 2017'!K108+'Feb. 2017'!K108+'March 2017'!K108+'April 2017'!K108+'May 2017'!K108+'June 2017'!K108)</f>
        <v>0</v>
      </c>
      <c r="L108" s="29">
        <f>SUM('July 2016'!L108+'Aug 2016'!L108+'Sept 2016'!L108+'Oct. 2016'!L108+'Nov. 2016'!L108+'Dec. 2016'!L108+'Jan. 2017'!L108+'Feb. 2017'!L108+'March 2017'!L108+'April 2017'!L108+'May 2017'!L108+'June 2017'!L108)</f>
        <v>19075</v>
      </c>
      <c r="M108" s="36">
        <f>SUM('July 2016'!M108+'Aug 2016'!M108+'Sept 2016'!M108+'Oct. 2016'!M108+'Nov. 2016'!M108+'Dec. 2016'!M108+'Jan. 2017'!M108+'Feb. 2017'!M108+'March 2017'!M108+'April 2017'!M108+'May 2017'!M108+'June 2017'!M108)</f>
        <v>0</v>
      </c>
    </row>
    <row r="109" spans="1:13" x14ac:dyDescent="0.2">
      <c r="A109" s="1"/>
      <c r="B109" s="228" t="s">
        <v>97</v>
      </c>
      <c r="C109" s="229"/>
      <c r="D109" s="12">
        <f>SUM('July 2016'!D109+'Aug 2016'!D109+'Sept 2016'!D109+'Oct. 2016'!D109+'Nov. 2016'!D109+'Dec. 2016'!D109+'Jan. 2017'!D109+'Feb. 2017'!D109+'March 2017'!D109+'April 2017'!D109+'May 2017'!D109+'June 2017'!D109)</f>
        <v>9351</v>
      </c>
      <c r="E109" s="12">
        <f>SUM('July 2016'!E109+'Aug 2016'!E109+'Sept 2016'!E109+'Oct. 2016'!E109+'Nov. 2016'!E109+'Dec. 2016'!E109+'Jan. 2017'!E109+'Feb. 2017'!E109+'March 2017'!E109+'April 2017'!E109+'May 2017'!E109+'June 2017'!E109)</f>
        <v>0</v>
      </c>
      <c r="F109" s="31"/>
      <c r="I109" s="60" t="s">
        <v>212</v>
      </c>
      <c r="J109" s="29"/>
      <c r="K109" s="29">
        <f>SUM('July 2016'!K109+'Aug 2016'!K109+'Sept 2016'!K109+'Oct. 2016'!K109+'Nov. 2016'!K109+'Dec. 2016'!K109+'Jan. 2017'!K109+'Feb. 2017'!K109+'March 2017'!K109+'April 2017'!K109+'May 2017'!K109+'June 2017'!K109)</f>
        <v>0</v>
      </c>
      <c r="L109" s="29">
        <f>SUM('July 2016'!L109+'Aug 2016'!L109+'Sept 2016'!L109+'Oct. 2016'!L109+'Nov. 2016'!L109+'Dec. 2016'!L109+'Jan. 2017'!L109+'Feb. 2017'!L109+'March 2017'!L109+'April 2017'!L109+'May 2017'!L109+'June 2017'!L109)</f>
        <v>9456</v>
      </c>
      <c r="M109" s="36">
        <f>SUM('July 2016'!M109+'Aug 2016'!M109+'Sept 2016'!M109+'Oct. 2016'!M109+'Nov. 2016'!M109+'Dec. 2016'!M109+'Jan. 2017'!M109+'Feb. 2017'!M109+'March 2017'!M109+'April 2017'!M109+'May 2017'!M109+'June 2017'!M109)</f>
        <v>0</v>
      </c>
    </row>
    <row r="110" spans="1:13" x14ac:dyDescent="0.2">
      <c r="B110" s="194" t="s">
        <v>348</v>
      </c>
      <c r="C110" s="15"/>
      <c r="D110" s="12">
        <f>SUM('July 2016'!D110+'Aug 2016'!D110+'Sept 2016'!D110+'Oct. 2016'!D110+'Nov. 2016'!D110+'Dec. 2016'!D110+'Jan. 2017'!D110+'Feb. 2017'!D110+'March 2017'!D110+'April 2017'!D110+'May 2017'!D110+'June 2017'!D110)</f>
        <v>2942</v>
      </c>
      <c r="E110" s="12">
        <f>SUM('July 2016'!E110+'Aug 2016'!E110+'Sept 2016'!E110+'Oct. 2016'!E110+'Nov. 2016'!E110+'Dec. 2016'!E110+'Jan. 2017'!E110+'Feb. 2017'!E110+'March 2017'!E110+'April 2017'!E110+'May 2017'!E110+'June 2017'!E110)</f>
        <v>0</v>
      </c>
      <c r="F110" s="160"/>
      <c r="I110" s="35" t="s">
        <v>134</v>
      </c>
      <c r="J110" s="50"/>
      <c r="K110" s="29">
        <f>SUM('July 2016'!K110+'Aug 2016'!K110+'Sept 2016'!K110+'Oct. 2016'!K110+'Nov. 2016'!K110+'Dec. 2016'!K110+'Jan. 2017'!K110+'Feb. 2017'!K110+'March 2017'!K110+'April 2017'!K110+'May 2017'!K110+'June 2017'!K110)</f>
        <v>0</v>
      </c>
      <c r="L110" s="29">
        <f>SUM('July 2016'!L110+'Aug 2016'!L110+'Sept 2016'!L110+'Oct. 2016'!L110+'Nov. 2016'!L110+'Dec. 2016'!L110+'Jan. 2017'!L110+'Feb. 2017'!L110+'March 2017'!L110+'April 2017'!L110+'May 2017'!L110+'June 2017'!L110)</f>
        <v>0</v>
      </c>
      <c r="M110" s="36">
        <f>SUM('July 2016'!M110+'Aug 2016'!M110+'Sept 2016'!M110+'Oct. 2016'!M110+'Nov. 2016'!M110+'Dec. 2016'!M110+'Jan. 2017'!M110+'Feb. 2017'!M110+'March 2017'!M110+'April 2017'!M110+'May 2017'!M110+'June 2017'!M110)</f>
        <v>0</v>
      </c>
    </row>
    <row r="111" spans="1:13" x14ac:dyDescent="0.2">
      <c r="B111" s="30" t="s">
        <v>142</v>
      </c>
      <c r="C111" s="15"/>
      <c r="D111" s="12">
        <f>SUM('July 2016'!D111+'Aug 2016'!D111+'Sept 2016'!D111+'Oct. 2016'!D111+'Nov. 2016'!D111+'Dec. 2016'!D111+'Jan. 2017'!D111+'Feb. 2017'!D111+'March 2017'!D111+'April 2017'!D111+'May 2017'!D111+'June 2017'!D111)</f>
        <v>2140</v>
      </c>
      <c r="E111" s="12">
        <f>SUM('July 2016'!E111+'Aug 2016'!E111+'Sept 2016'!E111+'Oct. 2016'!E111+'Nov. 2016'!E111+'Dec. 2016'!E111+'Jan. 2017'!E111+'Feb. 2017'!E111+'March 2017'!E111+'April 2017'!E111+'May 2017'!E111+'June 2017'!E111)</f>
        <v>0</v>
      </c>
      <c r="F111" s="160"/>
      <c r="I111" s="60" t="s">
        <v>145</v>
      </c>
      <c r="J111" s="50"/>
      <c r="K111" s="29">
        <f>SUM('July 2016'!K111+'Aug 2016'!K111+'Sept 2016'!K111+'Oct. 2016'!K111+'Nov. 2016'!K111+'Dec. 2016'!K111+'Jan. 2017'!K111+'Feb. 2017'!K111+'March 2017'!K111+'April 2017'!K111+'May 2017'!K111+'June 2017'!K111)</f>
        <v>0</v>
      </c>
      <c r="L111" s="29">
        <f>SUM('July 2016'!L111+'Aug 2016'!L111+'Sept 2016'!L111+'Oct. 2016'!L111+'Nov. 2016'!L111+'Dec. 2016'!L111+'Jan. 2017'!L111+'Feb. 2017'!L111+'March 2017'!L111+'April 2017'!L111+'May 2017'!L111+'June 2017'!L111)</f>
        <v>780</v>
      </c>
      <c r="M111" s="36">
        <f>SUM('July 2016'!M111+'Aug 2016'!M111+'Sept 2016'!M111+'Oct. 2016'!M111+'Nov. 2016'!M111+'Dec. 2016'!M111+'Jan. 2017'!M111+'Feb. 2017'!M111+'March 2017'!M111+'April 2017'!M111+'May 2017'!M111+'June 2017'!M111)</f>
        <v>0</v>
      </c>
    </row>
    <row r="112" spans="1:13" x14ac:dyDescent="0.2">
      <c r="A112" s="1"/>
      <c r="B112" s="232" t="s">
        <v>244</v>
      </c>
      <c r="C112" s="233"/>
      <c r="D112" s="12">
        <f>SUM('July 2016'!D112+'Aug 2016'!D112+'Sept 2016'!D112+'Oct. 2016'!D112+'Nov. 2016'!D112+'Dec. 2016'!D112+'Jan. 2017'!D112+'Feb. 2017'!D112+'March 2017'!D112+'April 2017'!D112+'May 2017'!D112+'June 2017'!D112)</f>
        <v>0</v>
      </c>
      <c r="E112" s="12">
        <f>SUM('July 2016'!E112+'Aug 2016'!E112+'Sept 2016'!E112+'Oct. 2016'!E112+'Nov. 2016'!E112+'Dec. 2016'!E112+'Jan. 2017'!E112+'Feb. 2017'!E112+'March 2017'!E112+'April 2017'!E112+'May 2017'!E112+'June 2017'!E112)</f>
        <v>1258</v>
      </c>
      <c r="F112" s="160" t="s">
        <v>484</v>
      </c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12">
        <f>SUM('July 2016'!D113+'Aug 2016'!D113+'Sept 2016'!D113+'Oct. 2016'!D113+'Nov. 2016'!D113+'Dec. 2016'!D113+'Jan. 2017'!D113+'Feb. 2017'!D113+'March 2017'!D113+'April 2017'!D113+'May 2017'!D113+'June 2017'!D113)</f>
        <v>2726</v>
      </c>
      <c r="E113" s="12">
        <f>SUM('July 2016'!E113+'Aug 2016'!E113+'Sept 2016'!E113+'Oct. 2016'!E113+'Nov. 2016'!E113+'Dec. 2016'!E113+'Jan. 2017'!E113+'Feb. 2017'!E113+'March 2017'!E113+'April 2017'!E113+'May 2017'!E113+'June 2017'!E113)</f>
        <v>0</v>
      </c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12">
        <f>SUM('July 2016'!D114+'Aug 2016'!D114+'Sept 2016'!D114+'Oct. 2016'!D114+'Nov. 2016'!D114+'Dec. 2016'!D114+'Jan. 2017'!D114+'Feb. 2017'!D114+'March 2017'!D114+'April 2017'!D114+'May 2017'!D114+'June 2017'!D114)</f>
        <v>2252</v>
      </c>
      <c r="E114" s="12">
        <f>SUM('July 2016'!E114+'Aug 2016'!E114+'Sept 2016'!E114+'Oct. 2016'!E114+'Nov. 2016'!E114+'Dec. 2016'!E114+'Jan. 2017'!E114+'Feb. 2017'!E114+'March 2017'!E114+'April 2017'!E114+'May 2017'!E114+'June 2017'!E114)</f>
        <v>0</v>
      </c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2">
        <f>SUM('July 2016'!D115+'Aug 2016'!D115+'Sept 2016'!D115+'Oct. 2016'!D115+'Nov. 2016'!D115+'Dec. 2016'!D115+'Jan. 2017'!D115+'Feb. 2017'!D115+'March 2017'!D115+'April 2017'!D115+'May 2017'!D115+'June 2017'!D115)</f>
        <v>1456</v>
      </c>
      <c r="E115" s="12">
        <f>SUM('July 2016'!E115+'Aug 2016'!E115+'Sept 2016'!E115+'Oct. 2016'!E115+'Nov. 2016'!E115+'Dec. 2016'!E115+'Jan. 2017'!E115+'Feb. 2017'!E115+'March 2017'!E115+'April 2017'!E115+'May 2017'!E115+'June 2017'!E115)</f>
        <v>0</v>
      </c>
      <c r="F115" s="161"/>
      <c r="I115" s="87" t="s">
        <v>111</v>
      </c>
      <c r="J115" s="33"/>
      <c r="K115" s="88">
        <f>SUM('July 2016'!K115+'Aug 2016'!K115+'Sept 2016'!K115+'Oct. 2016'!K115+'Nov. 2016'!K115+'Dec. 2016'!K115+'Jan. 2017'!K115+'Feb. 2017'!K115+'March 2017'!K115+'April 2017'!K115+'May 2017'!K115+'June 2017'!K115)</f>
        <v>18218</v>
      </c>
      <c r="L115" s="78"/>
      <c r="M115" s="78"/>
    </row>
    <row r="116" spans="1:13" x14ac:dyDescent="0.2">
      <c r="A116" s="1"/>
      <c r="B116" s="222"/>
      <c r="C116" s="223"/>
      <c r="D116" s="12">
        <f>SUM('July 2016'!D116+'Aug 2016'!D116+'Sept 2016'!D116+'Oct. 2016'!D116+'Nov. 2016'!D116+'Dec. 2016'!D116+'Jan. 2017'!D116+'Feb. 2017'!D116+'March 2017'!D116+'April 2017'!D116+'May 2017'!D116+'June 2017'!D116)</f>
        <v>0</v>
      </c>
      <c r="E116" s="12">
        <f>SUM('July 2016'!E116+'Aug 2016'!E116+'Sept 2016'!E116+'Oct. 2016'!E116+'Nov. 2016'!E116+'Dec. 2016'!E116+'Jan. 2017'!E116+'Feb. 2017'!E116+'March 2017'!E116+'April 2017'!E116+'May 2017'!E116+'June 2017'!E116)</f>
        <v>0</v>
      </c>
      <c r="F116" s="161"/>
      <c r="I116" s="89" t="s">
        <v>96</v>
      </c>
      <c r="J116" s="4"/>
      <c r="K116" s="90">
        <f>SUM('July 2016'!K116+'Aug 2016'!K116+'Sept 2016'!K116+'Oct. 2016'!K116+'Nov. 2016'!K116+'Dec. 2016'!K116+'Jan. 2017'!K116+'Feb. 2017'!K116+'March 2017'!K116+'April 2017'!K116+'May 2017'!K116+'June 2017'!K116)</f>
        <v>5437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2">
        <f>SUM('July 2016'!D117+'Aug 2016'!D117+'Sept 2016'!D117+'Oct. 2016'!D117+'Nov. 2016'!D117+'Dec. 2016'!D117+'Jan. 2017'!D117+'Feb. 2017'!D117+'March 2017'!D117+'April 2017'!D117+'May 2017'!D117+'June 2017'!D117)</f>
        <v>1119</v>
      </c>
      <c r="E117" s="12">
        <f>SUM('July 2016'!E117+'Aug 2016'!E117+'Sept 2016'!E117+'Oct. 2016'!E117+'Nov. 2016'!E117+'Dec. 2016'!E117+'Jan. 2017'!E117+'Feb. 2017'!E117+'March 2017'!E117+'April 2017'!E117+'May 2017'!E117+'June 2017'!E117)</f>
        <v>0</v>
      </c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2">
        <f>SUM('July 2016'!D118+'Aug 2016'!D118+'Sept 2016'!D118+'Oct. 2016'!D118+'Nov. 2016'!D118+'Dec. 2016'!D118+'Jan. 2017'!D118+'Feb. 2017'!D118+'March 2017'!D118+'April 2017'!D118+'May 2017'!D118+'June 2017'!D118)</f>
        <v>73</v>
      </c>
      <c r="E118" s="12">
        <f>SUM('July 2016'!E118+'Aug 2016'!E118+'Sept 2016'!E118+'Oct. 2016'!E118+'Nov. 2016'!E118+'Dec. 2016'!E118+'Jan. 2017'!E118+'Feb. 2017'!E118+'March 2017'!E118+'April 2017'!E118+'May 2017'!E118+'June 2017'!E118)</f>
        <v>0</v>
      </c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2">
        <f>SUM('July 2016'!D119+'Aug 2016'!D119+'Sept 2016'!D119+'Oct. 2016'!D119+'Nov. 2016'!D119+'Dec. 2016'!D119+'Jan. 2017'!D119+'Feb. 2017'!D119+'March 2017'!D119+'April 2017'!D119+'May 2017'!D119+'June 2017'!D119)</f>
        <v>0</v>
      </c>
      <c r="E119" s="12">
        <f>SUM('July 2016'!E119+'Aug 2016'!E119+'Sept 2016'!E119+'Oct. 2016'!E119+'Nov. 2016'!E119+'Dec. 2016'!E119+'Jan. 2017'!E119+'Feb. 2017'!E119+'March 2017'!E119+'April 2017'!E119+'May 2017'!E119+'June 2017'!E119)</f>
        <v>0</v>
      </c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2">
        <f>SUM('July 2016'!D120+'Aug 2016'!D120+'Sept 2016'!D120+'Oct. 2016'!D120+'Nov. 2016'!D120+'Dec. 2016'!D120+'Jan. 2017'!D120+'Feb. 2017'!D120+'March 2017'!D120+'April 2017'!D120+'May 2017'!D120+'June 2017'!D120)</f>
        <v>103</v>
      </c>
      <c r="E120" s="12">
        <f>SUM('July 2016'!E120+'Aug 2016'!E120+'Sept 2016'!E120+'Oct. 2016'!E120+'Nov. 2016'!E120+'Dec. 2016'!E120+'Jan. 2017'!E120+'Feb. 2017'!E120+'March 2017'!E120+'April 2017'!E120+'May 2017'!E120+'June 2017'!E120)</f>
        <v>1382</v>
      </c>
      <c r="F120" s="163"/>
      <c r="I120" s="95" t="s">
        <v>22</v>
      </c>
      <c r="J120" s="86"/>
      <c r="K120" s="29">
        <f>SUM('July 2016'!K120+'Aug 2016'!K120+'Sept 2016'!K120+'Oct. 2016'!K120+'Nov. 2016'!K120+'Dec. 2016'!K120+'Jan. 2017'!K120+'Feb. 2017'!K120+'March 2017'!K120+'April 2017'!K120+'May 2017'!K120+'June 2017'!K120)</f>
        <v>28</v>
      </c>
      <c r="L120" s="29">
        <f>SUM('July 2016'!L120+'Aug 2016'!L120+'Sept 2016'!L120+'Oct. 2016'!L120+'Nov. 2016'!L120+'Dec. 2016'!L120+'Jan. 2017'!L120+'Feb. 2017'!L120+'March 2017'!L120+'April 2017'!L120+'May 2017'!L120+'June 2017'!L120)</f>
        <v>6</v>
      </c>
      <c r="M120" s="94">
        <f>SUM(K120:L120)</f>
        <v>34</v>
      </c>
    </row>
    <row r="121" spans="1:13" x14ac:dyDescent="0.2">
      <c r="B121" s="100" t="s">
        <v>144</v>
      </c>
      <c r="D121" s="12">
        <f>SUM('July 2016'!D121+'Aug 2016'!D121+'Sept 2016'!D121+'Oct. 2016'!D121+'Nov. 2016'!D121+'Dec. 2016'!D121+'Jan. 2017'!D121+'Feb. 2017'!D121+'March 2017'!D121+'April 2017'!D121+'May 2017'!D121+'June 2017'!D121)</f>
        <v>7921</v>
      </c>
      <c r="E121" s="12">
        <f>SUM('July 2016'!E121+'Aug 2016'!E121+'Sept 2016'!E121+'Oct. 2016'!E121+'Nov. 2016'!E121+'Dec. 2016'!E121+'Jan. 2017'!E121+'Feb. 2017'!E121+'March 2017'!E121+'April 2017'!E121+'May 2017'!E121+'June 2017'!E121)</f>
        <v>0</v>
      </c>
      <c r="F121" s="31"/>
      <c r="I121" s="171" t="s">
        <v>169</v>
      </c>
      <c r="J121" s="86"/>
      <c r="K121" s="29">
        <f>SUM('July 2016'!K121+'Aug 2016'!K121+'Sept 2016'!K121+'Oct. 2016'!K121+'Nov. 2016'!K121+'Dec. 2016'!K121+'Jan. 2017'!K121+'Feb. 2017'!K121+'March 2017'!K121+'April 2017'!K121+'May 2017'!K121+'June 2017'!K121)</f>
        <v>4</v>
      </c>
      <c r="L121" s="29">
        <f>SUM('July 2016'!L121+'Aug 2016'!L121+'Sept 2016'!L121+'Oct. 2016'!L121+'Nov. 2016'!L121+'Dec. 2016'!L121+'Jan. 2017'!L121+'Feb. 2017'!L121+'March 2017'!L121+'April 2017'!L121+'May 2017'!L121+'June 2017'!L121)</f>
        <v>0</v>
      </c>
      <c r="M121" s="94">
        <f>SUM(K121:L121)</f>
        <v>4</v>
      </c>
    </row>
    <row r="122" spans="1:13" x14ac:dyDescent="0.2">
      <c r="A122" s="1"/>
      <c r="B122" s="32" t="s">
        <v>159</v>
      </c>
      <c r="C122" s="13"/>
      <c r="D122" s="12">
        <f>SUM('July 2016'!D122+'Aug 2016'!D122+'Sept 2016'!D122+'Oct. 2016'!D122+'Nov. 2016'!D122+'Dec. 2016'!D122+'Jan. 2017'!D122+'Feb. 2017'!D122+'March 2017'!D122+'April 2017'!D122+'May 2017'!D122+'June 2017'!D122)</f>
        <v>31465</v>
      </c>
      <c r="E122" s="12">
        <f>SUM('July 2016'!E122+'Aug 2016'!E122+'Sept 2016'!E122+'Oct. 2016'!E122+'Nov. 2016'!E122+'Dec. 2016'!E122+'Jan. 2017'!E122+'Feb. 2017'!E122+'March 2017'!E122+'April 2017'!E122+'May 2017'!E122+'June 2017'!E122)</f>
        <v>0</v>
      </c>
      <c r="F122" s="162"/>
      <c r="I122" s="171" t="s">
        <v>170</v>
      </c>
      <c r="J122" s="86"/>
      <c r="K122" s="38">
        <f>SUM('July 2016'!K122+'Aug 2016'!K122+'Sept 2016'!K122+'Oct. 2016'!K122+'Nov. 2016'!K122+'Dec. 2016'!K122+'Jan. 2017'!K122+'Feb. 2017'!K122+'March 2017'!K122+'April 2017'!K122+'May 2017'!K122+'June 2017'!K122)</f>
        <v>2</v>
      </c>
      <c r="L122" s="38">
        <f>SUM('July 2016'!L122+'Aug 2016'!L122+'Sept 2016'!L122+'Oct. 2016'!L122+'Nov. 2016'!L122+'Dec. 2016'!L122+'Jan. 2017'!L122+'Feb. 2017'!L122+'March 2017'!L122+'April 2017'!L122+'May 2017'!L122+'June 2017'!L122)</f>
        <v>0</v>
      </c>
      <c r="M122" s="94">
        <f>SUM(K122:L122)</f>
        <v>2</v>
      </c>
    </row>
    <row r="123" spans="1:13" x14ac:dyDescent="0.2">
      <c r="A123" s="1"/>
      <c r="B123" s="101" t="s">
        <v>135</v>
      </c>
      <c r="C123" s="13"/>
      <c r="D123" s="12">
        <f>SUM('July 2016'!D123+'Aug 2016'!D123+'Sept 2016'!D123+'Oct. 2016'!D123+'Nov. 2016'!D123+'Dec. 2016'!D123+'Jan. 2017'!D123+'Feb. 2017'!D123+'March 2017'!D123+'April 2017'!D123+'May 2017'!D123+'June 2017'!D123)</f>
        <v>3037</v>
      </c>
      <c r="E123" s="12">
        <f>SUM('July 2016'!E123+'Aug 2016'!E123+'Sept 2016'!E123+'Oct. 2016'!E123+'Nov. 2016'!E123+'Dec. 2016'!E123+'Jan. 2017'!E123+'Feb. 2017'!E123+'March 2017'!E123+'April 2017'!E123+'May 2017'!E123+'June 2017'!E123)</f>
        <v>0</v>
      </c>
      <c r="F123" s="162"/>
      <c r="I123" s="172" t="s">
        <v>23</v>
      </c>
      <c r="J123" s="173"/>
      <c r="K123" s="29">
        <f>SUM('July 2016'!K123+'Aug 2016'!K123+'Sept 2016'!K123+'Oct. 2016'!K123+'Nov. 2016'!K123+'Dec. 2016'!K123+'Jan. 2017'!K123+'Feb. 2017'!K123+'March 2017'!K123+'April 2017'!K123+'May 2017'!K123+'June 2017'!K123)</f>
        <v>266</v>
      </c>
      <c r="L123" s="29">
        <f>SUM('July 2016'!L123+'Aug 2016'!L123+'Sept 2016'!L123+'Oct. 2016'!L123+'Nov. 2016'!L123+'Dec. 2016'!L123+'Jan. 2017'!L123+'Feb. 2017'!L123+'March 2017'!L123+'April 2017'!L123+'May 2017'!L123+'June 2017'!L123)</f>
        <v>6</v>
      </c>
      <c r="M123" s="174">
        <f>SUM(K123:L123)</f>
        <v>272</v>
      </c>
    </row>
    <row r="124" spans="1:13" x14ac:dyDescent="0.2">
      <c r="A124" s="1"/>
      <c r="B124" s="101" t="s">
        <v>141</v>
      </c>
      <c r="C124" s="13"/>
      <c r="D124" s="12">
        <f>SUM('July 2016'!D124+'Aug 2016'!D124+'Sept 2016'!D124+'Oct. 2016'!D124+'Nov. 2016'!D124+'Dec. 2016'!D124+'Jan. 2017'!D124+'Feb. 2017'!D124+'March 2017'!D124+'April 2017'!D124+'May 2017'!D124+'June 2017'!D124)</f>
        <v>1358</v>
      </c>
      <c r="E124" s="12">
        <f>SUM('July 2016'!E124+'Aug 2016'!E124+'Sept 2016'!E124+'Oct. 2016'!E124+'Nov. 2016'!E124+'Dec. 2016'!E124+'Jan. 2017'!E124+'Feb. 2017'!E124+'March 2017'!E124+'April 2017'!E124+'May 2017'!E124+'June 2017'!E124)</f>
        <v>0</v>
      </c>
      <c r="F124" s="162"/>
      <c r="I124" s="171" t="s">
        <v>146</v>
      </c>
      <c r="J124" s="86"/>
      <c r="K124" s="29">
        <f>SUM('July 2016'!K124+'Aug 2016'!K124+'Sept 2016'!K124+'Oct. 2016'!K124+'Nov. 2016'!K124+'Dec. 2016'!K124+'Jan. 2017'!K124+'Feb. 2017'!K124+'March 2017'!K124+'April 2017'!K124+'May 2017'!K124+'June 2017'!K124)</f>
        <v>26</v>
      </c>
      <c r="L124" s="189" t="s">
        <v>394</v>
      </c>
      <c r="M124" s="29">
        <f>SUM('July 2016'!M124+'Aug 2016'!M124+'Sept 2016'!M124+'Oct. 2016'!M124+'Nov. 2016'!M124+'Dec. 2016'!M124+'Jan. 2017'!M124+'Feb. 2017'!M124+'March 2017'!M124+'April 2017'!M124+'May 2017'!M124+'June 2017'!M124)</f>
        <v>26</v>
      </c>
    </row>
    <row r="125" spans="1:13" x14ac:dyDescent="0.2">
      <c r="A125" s="1"/>
      <c r="B125" s="101" t="s">
        <v>126</v>
      </c>
      <c r="C125" s="13"/>
      <c r="D125" s="12">
        <f>SUM('July 2016'!D125+'Aug 2016'!D125+'Sept 2016'!D125+'Oct. 2016'!D125+'Nov. 2016'!D125+'Dec. 2016'!D125+'Jan. 2017'!D125+'Feb. 2017'!D125+'March 2017'!D125+'April 2017'!D125+'May 2017'!D125+'June 2017'!D125)</f>
        <v>1575</v>
      </c>
      <c r="E125" s="12">
        <f>SUM('July 2016'!E125+'Aug 2016'!E125+'Sept 2016'!E125+'Oct. 2016'!E125+'Nov. 2016'!E125+'Dec. 2016'!E125+'Jan. 2017'!E125+'Feb. 2017'!E125+'March 2017'!E125+'April 2017'!E125+'May 2017'!E125+'June 2017'!E125)</f>
        <v>0</v>
      </c>
      <c r="F125" s="162"/>
      <c r="I125" s="96" t="s">
        <v>273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2">
        <f>SUM('July 2016'!D126+'Aug 2016'!D126+'Sept 2016'!D126+'Oct. 2016'!D126+'Nov. 2016'!D126+'Dec. 2016'!D126+'Jan. 2017'!D126+'Feb. 2017'!D126+'March 2017'!D126+'April 2017'!D126+'May 2017'!D126+'June 2017'!D126)</f>
        <v>121</v>
      </c>
      <c r="E126" s="12">
        <f>SUM('July 2016'!E126+'Aug 2016'!E126+'Sept 2016'!E126+'Oct. 2016'!E126+'Nov. 2016'!E126+'Dec. 2016'!E126+'Jan. 2017'!E126+'Feb. 2017'!E126+'March 2017'!E126+'April 2017'!E126+'May 2017'!E126+'June 2017'!E126)</f>
        <v>0</v>
      </c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SUM(D107:D126)</f>
        <v>91815</v>
      </c>
      <c r="E127">
        <f>SUM(E107:E126)</f>
        <v>5118</v>
      </c>
      <c r="I127" s="132" t="s">
        <v>106</v>
      </c>
      <c r="J127" s="139"/>
      <c r="K127" s="105">
        <f>SUM('July 2016'!K127+'Aug 2016'!K127+'Sept 2016'!K127+'Oct. 2016'!K127+'Nov. 2016'!K127+'Dec. 2016'!K127+'Jan. 2017'!K127+'Feb. 2017'!K127+'March 2017'!K127+'April 2017'!K127+'May 2017'!K127+'June 2017'!K127)</f>
        <v>32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f>SUM('July 2016'!K128+'Aug 2016'!K128+'Sept 2016'!K128+'Oct. 2016'!K128+'Nov. 2016'!K128+'Dec. 2016'!K128+'Jan. 2017'!K128+'Feb. 2017'!K128+'March 2017'!K128+'April 2017'!K128+'May 2017'!K128+'June 2017'!K128)</f>
        <v>40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 t="s">
        <v>485</v>
      </c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f>SUM('July 2016'!C134+'Aug 2016'!C134+'Sept 2016'!C134+'Oct. 2016'!C134+'Nov. 2016'!C134+'Dec. 2016'!C134+'Jan. 2017'!C134+'Feb. 2017'!C134+'March 2017'!C134+'April 2017'!C134+'May 2017'!C134+'June 2017'!C134)</f>
        <v>1107</v>
      </c>
      <c r="D134" s="29">
        <f>SUM('July 2016'!D134+'Aug 2016'!D134+'Sept 2016'!D134+'Oct. 2016'!D134+'Nov. 2016'!D134+'Dec. 2016'!D134+'Jan. 2017'!D134+'Feb. 2017'!D134+'March 2017'!D134+'April 2017'!D134+'May 2017'!D134+'June 2017'!D134)</f>
        <v>484</v>
      </c>
      <c r="E134" s="29">
        <f>SUM('July 2016'!E134+'Aug 2016'!E134+'Sept 2016'!E134+'Oct. 2016'!E134+'Nov. 2016'!E134+'Dec. 2016'!E134+'Jan. 2017'!E134+'Feb. 2017'!E134+'March 2017'!E134+'April 2017'!E134+'May 2017'!E134+'June 2017'!E134)</f>
        <v>6654</v>
      </c>
      <c r="F134" s="29">
        <f>SUM('July 2016'!F134+'Aug 2016'!F134+'Sept 2016'!F134+'Oct. 2016'!F134+'Nov. 2016'!F134+'Dec. 2016'!F134+'Jan. 2017'!F134+'Feb. 2017'!F134+'March 2017'!F134+'April 2017'!F134+'May 2017'!F134+'June 2017'!F134)</f>
        <v>4584</v>
      </c>
      <c r="G134" s="29">
        <f>SUM('July 2016'!G134+'Aug 2016'!G134+'Sept 2016'!G134+'Oct. 2016'!G134+'Nov. 2016'!G134+'Dec. 2016'!G134+'Jan. 2017'!G134+'Feb. 2017'!G134+'March 2017'!G134+'April 2017'!G134+'May 2017'!G134+'June 2017'!G134)</f>
        <v>1647</v>
      </c>
      <c r="H134" s="29">
        <f>SUM('July 2016'!H134+'Aug 2016'!H134+'Sept 2016'!H134+'Oct. 2016'!H134+'Nov. 2016'!H134+'Dec. 2016'!H134+'Jan. 2017'!H134+'Feb. 2017'!H134+'March 2017'!H134+'April 2017'!H134+'May 2017'!H134+'June 2017'!H134)</f>
        <v>43</v>
      </c>
      <c r="I134" s="29">
        <f>SUM('July 2016'!I134+'Aug 2016'!I134+'Sept 2016'!I134+'Oct. 2016'!I134+'Nov. 2016'!I134+'Dec. 2016'!I134+'Jan. 2017'!I134+'Feb. 2017'!I134+'March 2017'!I134+'April 2017'!I134+'May 2017'!I134+'June 2017'!I134)</f>
        <v>549</v>
      </c>
      <c r="J134" s="29">
        <f>SUM('July 2016'!J134+'Aug 2016'!J134+'Sept 2016'!J134+'Oct. 2016'!J134+'Nov. 2016'!J134+'Dec. 2016'!J134+'Jan. 2017'!J134+'Feb. 2017'!J134+'March 2017'!J134+'April 2017'!J134+'May 2017'!J134+'June 2017'!J134)</f>
        <v>2572</v>
      </c>
      <c r="K134" s="29">
        <f>SUM('July 2016'!K134+'Aug 2016'!K134+'Sept 2016'!K134+'Oct. 2016'!K134+'Nov. 2016'!K134+'Dec. 2016'!K134+'Jan. 2017'!K134+'Feb. 2017'!K134+'March 2017'!K134+'April 2017'!K134+'May 2017'!K134+'June 2017'!K134)</f>
        <v>3890</v>
      </c>
      <c r="L134" s="51">
        <f>SUM(C134:K134)</f>
        <v>21530</v>
      </c>
    </row>
    <row r="135" spans="1:13" x14ac:dyDescent="0.2">
      <c r="A135" s="31"/>
      <c r="B135" s="50" t="s">
        <v>9</v>
      </c>
      <c r="C135" s="169" t="s">
        <v>158</v>
      </c>
      <c r="D135" s="169" t="s">
        <v>158</v>
      </c>
      <c r="E135" s="169" t="s">
        <v>158</v>
      </c>
      <c r="F135" s="29">
        <f>SUM('July 2016'!F135+'Aug 2016'!F135+'Sept 2016'!F135+'Oct. 2016'!F135+'Nov. 2016'!F135+'Dec. 2016'!F135+'Jan. 2017'!F135+'Feb. 2017'!F135+'March 2017'!F135+'April 2017'!F135+'May 2017'!F135+'June 2017'!F135)</f>
        <v>1243</v>
      </c>
      <c r="G135" s="170" t="s">
        <v>158</v>
      </c>
      <c r="H135" s="170" t="s">
        <v>158</v>
      </c>
      <c r="I135" s="170" t="s">
        <v>158</v>
      </c>
      <c r="J135" s="29">
        <f>SUM('July 2016'!J135+'Aug 2016'!J135+'Sept 2016'!J135+'Oct. 2016'!J135+'Nov. 2016'!J135+'Dec. 2016'!J135+'Jan. 2017'!J135+'Feb. 2017'!J135+'March 2017'!J135+'April 2017'!J135+'May 2017'!J135+'June 2017'!J135)</f>
        <v>1984</v>
      </c>
      <c r="K135" s="170" t="s">
        <v>158</v>
      </c>
      <c r="L135" s="51">
        <f>SUM(C135:K135)</f>
        <v>3227</v>
      </c>
    </row>
    <row r="136" spans="1:13" ht="13.5" thickBot="1" x14ac:dyDescent="0.25">
      <c r="A136" s="31"/>
      <c r="B136" s="10" t="s">
        <v>162</v>
      </c>
      <c r="C136" s="3">
        <f>SUM('July 2016'!C136+'Aug 2016'!C136+'Sept 2016'!C136+'Oct. 2016'!C136+'Nov. 2016'!C136+'Dec. 2016'!C136+'Jan. 2017'!C136+'Feb. 2017'!C136+'March 2017'!C136+'April 2017'!C136+'May 2017'!C136+'June 2017'!C136)</f>
        <v>0</v>
      </c>
      <c r="D136" s="3">
        <f>SUM('July 2016'!D136+'Aug 2016'!D136+'Sept 2016'!D136+'Oct. 2016'!D136+'Nov. 2016'!D136+'Dec. 2016'!D136+'Jan. 2017'!D136+'Feb. 2017'!D136+'March 2017'!D136+'April 2017'!D136+'May 2017'!D136+'June 2017'!D136)</f>
        <v>33</v>
      </c>
      <c r="E136" s="3">
        <f>SUM('July 2016'!E136+'Aug 2016'!E136+'Sept 2016'!E136+'Oct. 2016'!E136+'Nov. 2016'!E136+'Dec. 2016'!E136+'Jan. 2017'!E136+'Feb. 2017'!E136+'March 2017'!E136+'April 2017'!E136+'May 2017'!E136+'June 2017'!E136)</f>
        <v>34</v>
      </c>
      <c r="F136" s="3">
        <f>SUM('July 2016'!F136+'Aug 2016'!F136+'Sept 2016'!F136+'Oct. 2016'!F136+'Nov. 2016'!F136+'Dec. 2016'!F136+'Jan. 2017'!F136+'Feb. 2017'!F136+'March 2017'!F136+'April 2017'!F136+'May 2017'!F136+'June 2017'!F136)</f>
        <v>45</v>
      </c>
      <c r="G136" s="3">
        <f>SUM('July 2016'!G136+'Aug 2016'!G136+'Sept 2016'!G136+'Oct. 2016'!G136+'Nov. 2016'!G136+'Dec. 2016'!G136+'Jan. 2017'!G136+'Feb. 2017'!G136+'March 2017'!G136+'April 2017'!G136+'May 2017'!G136+'June 2017'!G136)</f>
        <v>0</v>
      </c>
      <c r="H136" s="3">
        <f>SUM('July 2016'!H136+'Aug 2016'!H136+'Sept 2016'!H136+'Oct. 2016'!H136+'Nov. 2016'!H136+'Dec. 2016'!H136+'Jan. 2017'!H136+'Feb. 2017'!H136+'March 2017'!H136+'April 2017'!H136+'May 2017'!H136+'June 2017'!H136)</f>
        <v>0</v>
      </c>
      <c r="I136" s="3"/>
      <c r="J136" s="3">
        <f>SUM('July 2016'!J136+'Aug 2016'!J136+'Sept 2016'!J136+'Oct. 2016'!J136+'Nov. 2016'!J136+'Dec. 2016'!J136+'Jan. 2017'!J136+'Feb. 2017'!J136+'March 2017'!J136+'April 2017'!J136+'May 2017'!J136+'June 2017'!J136)</f>
        <v>20</v>
      </c>
      <c r="K136" s="3">
        <f>SUM('July 2016'!K136+'Aug 2016'!K136+'Sept 2016'!K136+'Oct. 2016'!K136+'Nov. 2016'!K136+'Dec. 2016'!K136+'Jan. 2017'!K136+'Feb. 2017'!K136+'March 2017'!K136+'April 2017'!K136+'May 2017'!K136+'June 2017'!K136)</f>
        <v>12</v>
      </c>
      <c r="L136" s="131">
        <f>SUM(C136:K136)</f>
        <v>144</v>
      </c>
    </row>
    <row r="137" spans="1:13" ht="13.5" thickTop="1" x14ac:dyDescent="0.2">
      <c r="A137" s="31"/>
      <c r="B137" s="50" t="s">
        <v>14</v>
      </c>
      <c r="C137" s="29">
        <f>SUM(C134:C136)</f>
        <v>1107</v>
      </c>
      <c r="D137" s="29">
        <f>SUM(D134:D136)</f>
        <v>517</v>
      </c>
      <c r="E137" s="29">
        <f t="shared" ref="E137:L137" si="7">SUM(E134:E136)</f>
        <v>6688</v>
      </c>
      <c r="F137" s="29">
        <f t="shared" si="7"/>
        <v>5872</v>
      </c>
      <c r="G137" s="29">
        <f t="shared" si="7"/>
        <v>1647</v>
      </c>
      <c r="H137" s="29">
        <f t="shared" si="7"/>
        <v>43</v>
      </c>
      <c r="I137" s="29">
        <f t="shared" si="7"/>
        <v>549</v>
      </c>
      <c r="J137" s="29">
        <f t="shared" si="7"/>
        <v>4576</v>
      </c>
      <c r="K137" s="29">
        <f t="shared" si="7"/>
        <v>3902</v>
      </c>
      <c r="L137" s="42">
        <f t="shared" si="7"/>
        <v>24901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2" spans="1:13" x14ac:dyDescent="0.2">
      <c r="I142" s="29"/>
      <c r="J142" s="29"/>
      <c r="K142" s="29"/>
      <c r="L142" s="29"/>
    </row>
    <row r="144" spans="1:13" x14ac:dyDescent="0.2">
      <c r="I144" s="29"/>
      <c r="J144" s="29"/>
      <c r="K144" s="29"/>
      <c r="L144" s="29"/>
    </row>
    <row r="146" spans="9:12" x14ac:dyDescent="0.2">
      <c r="I146" s="29"/>
      <c r="J146" s="29"/>
      <c r="K146" s="29"/>
      <c r="L146" s="29"/>
    </row>
    <row r="148" spans="9:12" x14ac:dyDescent="0.2">
      <c r="I148" s="29"/>
      <c r="J148" s="29"/>
      <c r="K148" s="29"/>
      <c r="L148" s="29"/>
    </row>
    <row r="150" spans="9:12" x14ac:dyDescent="0.2">
      <c r="I150" s="29"/>
      <c r="J150" s="29"/>
      <c r="K150" s="29"/>
      <c r="L150" s="29"/>
    </row>
    <row r="152" spans="9:12" x14ac:dyDescent="0.2">
      <c r="I152" s="29"/>
      <c r="J152" s="29"/>
      <c r="K152" s="29"/>
      <c r="L152" s="29"/>
    </row>
    <row r="154" spans="9:12" x14ac:dyDescent="0.2">
      <c r="I154" s="29"/>
      <c r="J154" s="29"/>
      <c r="K154" s="29"/>
      <c r="L154" s="29"/>
    </row>
    <row r="156" spans="9:12" x14ac:dyDescent="0.2">
      <c r="I156" s="29"/>
      <c r="J156" s="29"/>
      <c r="K156" s="29"/>
      <c r="L156" s="29"/>
    </row>
    <row r="158" spans="9:12" x14ac:dyDescent="0.2">
      <c r="I158" s="29"/>
      <c r="J158" s="29"/>
      <c r="K158" s="29"/>
      <c r="L158" s="29"/>
    </row>
    <row r="160" spans="9:12" x14ac:dyDescent="0.2">
      <c r="I160" s="29"/>
      <c r="J160" s="29"/>
      <c r="K160" s="29"/>
      <c r="L160" s="29"/>
    </row>
    <row r="162" spans="9:12" x14ac:dyDescent="0.2">
      <c r="I162" s="29"/>
      <c r="J162" s="29"/>
      <c r="K162" s="29"/>
      <c r="L162" s="29"/>
    </row>
    <row r="164" spans="9:12" x14ac:dyDescent="0.2">
      <c r="I164" s="29"/>
      <c r="J164" s="29"/>
      <c r="K164" s="29"/>
      <c r="L164" s="29"/>
    </row>
    <row r="166" spans="9:12" x14ac:dyDescent="0.2">
      <c r="I166" s="29"/>
      <c r="J166" s="29"/>
      <c r="K166" s="29"/>
      <c r="L166" s="29"/>
    </row>
    <row r="168" spans="9:12" x14ac:dyDescent="0.2">
      <c r="I168" s="29"/>
      <c r="J168" s="29"/>
      <c r="K168" s="29"/>
      <c r="L168" s="29"/>
    </row>
    <row r="171" spans="9:12" x14ac:dyDescent="0.2">
      <c r="I171" s="29"/>
      <c r="J171" s="29"/>
      <c r="K171" s="29"/>
      <c r="L171" s="29"/>
    </row>
    <row r="172" spans="9:12" x14ac:dyDescent="0.2">
      <c r="I172" s="29"/>
      <c r="J172" s="29"/>
      <c r="K172" s="29"/>
      <c r="L172" s="29"/>
    </row>
  </sheetData>
  <mergeCells count="7">
    <mergeCell ref="B119:C119"/>
    <mergeCell ref="B108:C108"/>
    <mergeCell ref="B109:C109"/>
    <mergeCell ref="B112:C112"/>
    <mergeCell ref="B116:C116"/>
    <mergeCell ref="B117:C117"/>
    <mergeCell ref="B118:C118"/>
  </mergeCells>
  <pageMargins left="0.5" right="0.5" top="0.5" bottom="0.5" header="0.5" footer="0.5"/>
  <pageSetup fitToHeight="0" orientation="landscape" r:id="rId1"/>
  <headerFooter>
    <oddHeader>&amp;C
&amp;RJuly 2015 - 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topLeftCell="A41" zoomScaleNormal="100" workbookViewId="0">
      <selection activeCell="C77" sqref="C77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>
        <v>42583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79</v>
      </c>
      <c r="D7" s="29">
        <v>4</v>
      </c>
      <c r="E7" s="29">
        <v>154</v>
      </c>
      <c r="F7" s="61">
        <v>413</v>
      </c>
      <c r="G7" s="61">
        <v>42</v>
      </c>
      <c r="H7" s="61">
        <v>0</v>
      </c>
      <c r="I7" s="61">
        <v>2</v>
      </c>
      <c r="J7" s="61">
        <v>235</v>
      </c>
      <c r="K7" s="61">
        <v>11</v>
      </c>
      <c r="L7" s="166" t="s">
        <v>158</v>
      </c>
      <c r="M7" s="51">
        <f>SUM(C7:L7)</f>
        <v>940</v>
      </c>
    </row>
    <row r="8" spans="1:18" x14ac:dyDescent="0.2">
      <c r="A8" s="31"/>
      <c r="B8" s="47" t="s">
        <v>146</v>
      </c>
      <c r="C8" s="29">
        <v>4</v>
      </c>
      <c r="D8" s="29">
        <v>0</v>
      </c>
      <c r="E8" s="29">
        <v>3</v>
      </c>
      <c r="F8" s="61">
        <v>26</v>
      </c>
      <c r="G8" s="61">
        <v>6</v>
      </c>
      <c r="H8" s="61">
        <v>0</v>
      </c>
      <c r="I8" s="61">
        <v>0</v>
      </c>
      <c r="J8" s="61">
        <v>20</v>
      </c>
      <c r="K8" s="61">
        <v>0</v>
      </c>
      <c r="L8" s="167"/>
      <c r="M8" s="51">
        <f>SUM(C8:L8)</f>
        <v>59</v>
      </c>
    </row>
    <row r="9" spans="1:18" ht="13.5" thickBot="1" x14ac:dyDescent="0.25">
      <c r="A9" s="31"/>
      <c r="B9" s="47" t="s">
        <v>147</v>
      </c>
      <c r="C9" s="3">
        <v>4</v>
      </c>
      <c r="D9" s="3">
        <v>0</v>
      </c>
      <c r="E9" s="3">
        <v>2</v>
      </c>
      <c r="F9" s="3">
        <v>59</v>
      </c>
      <c r="G9" s="3">
        <v>2</v>
      </c>
      <c r="H9" s="3">
        <v>0</v>
      </c>
      <c r="I9" s="3">
        <v>0</v>
      </c>
      <c r="J9" s="3">
        <v>21</v>
      </c>
      <c r="K9" s="3">
        <v>0</v>
      </c>
      <c r="L9" s="168" t="s">
        <v>158</v>
      </c>
      <c r="M9" s="51">
        <f>SUM(C9:L9)</f>
        <v>88</v>
      </c>
    </row>
    <row r="10" spans="1:18" ht="13.5" thickTop="1" x14ac:dyDescent="0.2">
      <c r="A10" s="41"/>
      <c r="B10" s="55" t="s">
        <v>14</v>
      </c>
      <c r="C10" s="38">
        <f>SUM(C7:C9)</f>
        <v>87</v>
      </c>
      <c r="D10" s="38">
        <f t="shared" ref="D10:L10" si="0">SUM(D7:D9)</f>
        <v>4</v>
      </c>
      <c r="E10" s="38">
        <f t="shared" si="0"/>
        <v>159</v>
      </c>
      <c r="F10" s="38">
        <f t="shared" si="0"/>
        <v>498</v>
      </c>
      <c r="G10" s="38">
        <f t="shared" si="0"/>
        <v>50</v>
      </c>
      <c r="H10" s="38">
        <f t="shared" si="0"/>
        <v>0</v>
      </c>
      <c r="I10" s="38">
        <f t="shared" si="0"/>
        <v>2</v>
      </c>
      <c r="J10" s="38">
        <f t="shared" si="0"/>
        <v>276</v>
      </c>
      <c r="K10" s="38">
        <f t="shared" si="0"/>
        <v>11</v>
      </c>
      <c r="L10" s="38">
        <f t="shared" si="0"/>
        <v>0</v>
      </c>
      <c r="M10" s="39">
        <f>SUM(C10:L10)</f>
        <v>1087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3321</v>
      </c>
      <c r="D12" s="123">
        <v>82</v>
      </c>
      <c r="E12" s="122">
        <v>14563</v>
      </c>
      <c r="F12" s="123">
        <v>12081</v>
      </c>
      <c r="G12" s="123">
        <v>9439</v>
      </c>
      <c r="H12" s="123">
        <v>104</v>
      </c>
      <c r="I12" s="123">
        <v>60</v>
      </c>
      <c r="J12" s="123">
        <v>11320</v>
      </c>
      <c r="K12" s="123">
        <v>1904</v>
      </c>
      <c r="L12" s="123"/>
      <c r="M12" s="124">
        <f>SUM(C12:K12)</f>
        <v>52874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75</v>
      </c>
      <c r="D19" s="29">
        <v>1</v>
      </c>
      <c r="E19" s="29">
        <v>147</v>
      </c>
      <c r="F19" s="4">
        <v>209</v>
      </c>
      <c r="G19" s="4">
        <v>115</v>
      </c>
      <c r="H19" s="4">
        <v>1</v>
      </c>
      <c r="I19" s="4">
        <v>5</v>
      </c>
      <c r="J19" s="4">
        <v>76</v>
      </c>
      <c r="K19" s="4">
        <v>49</v>
      </c>
      <c r="L19" s="36">
        <f>SUM(C19:K19)</f>
        <v>678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51">
        <f>SUM(C20:K20)</f>
        <v>7</v>
      </c>
    </row>
    <row r="21" spans="1:13" x14ac:dyDescent="0.2">
      <c r="A21" s="31"/>
      <c r="B21" s="29" t="s">
        <v>11</v>
      </c>
      <c r="C21" s="4">
        <v>1</v>
      </c>
      <c r="D21" s="4">
        <v>0</v>
      </c>
      <c r="E21" s="4">
        <v>18</v>
      </c>
      <c r="F21" s="4">
        <v>18</v>
      </c>
      <c r="G21" s="4">
        <v>19</v>
      </c>
      <c r="H21" s="4">
        <v>1</v>
      </c>
      <c r="I21" s="4">
        <v>0</v>
      </c>
      <c r="J21" s="4">
        <v>33</v>
      </c>
      <c r="K21" s="4">
        <v>0</v>
      </c>
      <c r="L21" s="51">
        <f>SUM(C21:K21)</f>
        <v>90</v>
      </c>
    </row>
    <row r="22" spans="1:13" x14ac:dyDescent="0.2">
      <c r="A22" s="31"/>
      <c r="B22" s="29" t="s">
        <v>10</v>
      </c>
      <c r="C22" s="4">
        <v>4</v>
      </c>
      <c r="D22" s="4">
        <v>2</v>
      </c>
      <c r="E22" s="4">
        <v>11</v>
      </c>
      <c r="F22" s="4">
        <v>59</v>
      </c>
      <c r="G22" s="4">
        <v>19</v>
      </c>
      <c r="H22" s="4">
        <v>2</v>
      </c>
      <c r="I22" s="4">
        <v>2</v>
      </c>
      <c r="J22" s="4">
        <v>28</v>
      </c>
      <c r="K22" s="4">
        <v>4</v>
      </c>
      <c r="L22" s="51">
        <f>SUM(C22:K22)</f>
        <v>131</v>
      </c>
    </row>
    <row r="23" spans="1:13" ht="13.5" thickBot="1" x14ac:dyDescent="0.25">
      <c r="A23" s="31"/>
      <c r="B23" s="29" t="s">
        <v>9</v>
      </c>
      <c r="C23" s="3">
        <v>155</v>
      </c>
      <c r="D23" s="3">
        <v>85</v>
      </c>
      <c r="E23" s="3">
        <v>429</v>
      </c>
      <c r="F23" s="3">
        <v>472</v>
      </c>
      <c r="G23" s="3">
        <v>332</v>
      </c>
      <c r="H23" s="3">
        <v>16</v>
      </c>
      <c r="I23" s="3">
        <v>15</v>
      </c>
      <c r="J23" s="3">
        <v>819</v>
      </c>
      <c r="K23" s="3">
        <v>208</v>
      </c>
      <c r="L23" s="49">
        <f>SUM(C23:K23)</f>
        <v>2531</v>
      </c>
    </row>
    <row r="24" spans="1:13" ht="13.5" thickTop="1" x14ac:dyDescent="0.2">
      <c r="A24" s="31"/>
      <c r="B24" s="50" t="s">
        <v>14</v>
      </c>
      <c r="C24" s="29">
        <f>SUM(C19:C23)</f>
        <v>236</v>
      </c>
      <c r="D24" s="29">
        <f t="shared" ref="D24:L24" si="1">SUM(D19:D23)</f>
        <v>88</v>
      </c>
      <c r="E24" s="29">
        <f t="shared" si="1"/>
        <v>606</v>
      </c>
      <c r="F24" s="29">
        <f t="shared" si="1"/>
        <v>758</v>
      </c>
      <c r="G24" s="29">
        <f t="shared" si="1"/>
        <v>486</v>
      </c>
      <c r="H24" s="29">
        <f t="shared" si="1"/>
        <v>20</v>
      </c>
      <c r="I24" s="29">
        <f t="shared" si="1"/>
        <v>22</v>
      </c>
      <c r="J24" s="29">
        <f t="shared" si="1"/>
        <v>956</v>
      </c>
      <c r="K24" s="29">
        <f t="shared" si="1"/>
        <v>265</v>
      </c>
      <c r="L24" s="29">
        <f t="shared" si="1"/>
        <v>3437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132</v>
      </c>
      <c r="M26" s="156" t="s">
        <v>14</v>
      </c>
    </row>
    <row r="27" spans="1:13" x14ac:dyDescent="0.2">
      <c r="A27" s="132" t="s">
        <v>34</v>
      </c>
      <c r="B27" s="139"/>
      <c r="C27" s="73">
        <v>0</v>
      </c>
      <c r="D27" s="73">
        <v>0</v>
      </c>
      <c r="E27" s="73">
        <v>71.25</v>
      </c>
      <c r="F27" s="73">
        <v>5.25</v>
      </c>
      <c r="G27" s="73">
        <v>0</v>
      </c>
      <c r="H27" s="73">
        <v>0</v>
      </c>
      <c r="I27" s="73">
        <v>0</v>
      </c>
      <c r="J27" s="73">
        <v>51</v>
      </c>
      <c r="K27" s="73">
        <v>9</v>
      </c>
      <c r="L27" s="73"/>
      <c r="M27" s="118">
        <f>SUM(C27:L27)</f>
        <v>136.5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49</v>
      </c>
      <c r="D31" s="29">
        <v>29</v>
      </c>
      <c r="E31" s="29">
        <v>167</v>
      </c>
      <c r="F31" s="4">
        <v>193</v>
      </c>
      <c r="G31" s="4">
        <v>236</v>
      </c>
      <c r="H31" s="4">
        <v>267</v>
      </c>
      <c r="I31" s="4">
        <v>0</v>
      </c>
      <c r="J31" s="4">
        <v>340</v>
      </c>
      <c r="K31" s="4">
        <v>64</v>
      </c>
      <c r="L31" s="51">
        <f t="shared" ref="L31:L36" si="2">SUM(C31:K31)</f>
        <v>1345</v>
      </c>
    </row>
    <row r="32" spans="1:13" x14ac:dyDescent="0.2">
      <c r="B32" s="60" t="s">
        <v>18</v>
      </c>
      <c r="C32" s="29">
        <v>17</v>
      </c>
      <c r="D32" s="29">
        <v>16</v>
      </c>
      <c r="E32" s="29">
        <v>70</v>
      </c>
      <c r="F32" s="4">
        <v>54</v>
      </c>
      <c r="G32" s="4">
        <v>18</v>
      </c>
      <c r="H32" s="4">
        <v>2</v>
      </c>
      <c r="I32" s="4">
        <v>0</v>
      </c>
      <c r="J32" s="4">
        <v>24</v>
      </c>
      <c r="K32" s="4">
        <v>27</v>
      </c>
      <c r="L32" s="51">
        <f t="shared" si="2"/>
        <v>228</v>
      </c>
    </row>
    <row r="33" spans="1:12" x14ac:dyDescent="0.2">
      <c r="B33" s="60" t="s">
        <v>20</v>
      </c>
      <c r="C33" s="29">
        <v>180</v>
      </c>
      <c r="D33" s="29">
        <v>144</v>
      </c>
      <c r="E33" s="29">
        <v>729</v>
      </c>
      <c r="F33" s="29">
        <v>236</v>
      </c>
      <c r="G33" s="4">
        <v>280</v>
      </c>
      <c r="H33" s="4">
        <v>1</v>
      </c>
      <c r="I33" s="4">
        <v>0</v>
      </c>
      <c r="J33" s="4">
        <v>277</v>
      </c>
      <c r="K33" s="29">
        <v>33</v>
      </c>
      <c r="L33" s="51">
        <f t="shared" si="2"/>
        <v>1880</v>
      </c>
    </row>
    <row r="34" spans="1:12" x14ac:dyDescent="0.2">
      <c r="B34" s="60" t="s">
        <v>108</v>
      </c>
      <c r="C34" s="4">
        <f>6+41</f>
        <v>47</v>
      </c>
      <c r="D34" s="4">
        <f>3+32</f>
        <v>35</v>
      </c>
      <c r="E34" s="4">
        <f>3+12</f>
        <v>15</v>
      </c>
      <c r="F34" s="4">
        <f>6+9</f>
        <v>15</v>
      </c>
      <c r="G34" s="4">
        <f>6+17</f>
        <v>23</v>
      </c>
      <c r="H34" s="4">
        <f>9+33</f>
        <v>42</v>
      </c>
      <c r="I34" s="4">
        <v>0</v>
      </c>
      <c r="J34">
        <f>7+11</f>
        <v>18</v>
      </c>
      <c r="K34" s="4">
        <f>4+13</f>
        <v>17</v>
      </c>
      <c r="L34" s="51">
        <f t="shared" si="2"/>
        <v>212</v>
      </c>
    </row>
    <row r="35" spans="1:12" ht="13.5" thickBot="1" x14ac:dyDescent="0.25">
      <c r="B35" s="119" t="s">
        <v>19</v>
      </c>
      <c r="C35" s="3">
        <f t="shared" ref="C35:I35" si="3">C76</f>
        <v>0</v>
      </c>
      <c r="D35" s="3">
        <f t="shared" si="3"/>
        <v>0</v>
      </c>
      <c r="E35" s="3">
        <f t="shared" si="3"/>
        <v>15</v>
      </c>
      <c r="F35" s="3">
        <f t="shared" si="3"/>
        <v>16</v>
      </c>
      <c r="G35" s="3">
        <f t="shared" si="3"/>
        <v>8</v>
      </c>
      <c r="H35" s="3">
        <f t="shared" si="3"/>
        <v>6</v>
      </c>
      <c r="I35" s="3">
        <f t="shared" si="3"/>
        <v>0</v>
      </c>
      <c r="J35" s="3">
        <f>J76</f>
        <v>12</v>
      </c>
      <c r="K35" s="3">
        <f>K76</f>
        <v>2</v>
      </c>
      <c r="L35" s="117">
        <f t="shared" si="2"/>
        <v>59</v>
      </c>
    </row>
    <row r="36" spans="1:12" ht="13.5" thickTop="1" x14ac:dyDescent="0.2">
      <c r="B36" s="58" t="s">
        <v>14</v>
      </c>
      <c r="C36" s="38">
        <f>SUM(C31:C35)</f>
        <v>293</v>
      </c>
      <c r="D36" s="38">
        <f t="shared" ref="D36:K36" si="4">SUM(D31:D35)</f>
        <v>224</v>
      </c>
      <c r="E36" s="38">
        <f t="shared" si="4"/>
        <v>996</v>
      </c>
      <c r="F36" s="38">
        <f t="shared" si="4"/>
        <v>514</v>
      </c>
      <c r="G36" s="38">
        <f t="shared" si="4"/>
        <v>565</v>
      </c>
      <c r="H36" s="38">
        <f t="shared" si="4"/>
        <v>318</v>
      </c>
      <c r="I36" s="38">
        <f t="shared" si="4"/>
        <v>0</v>
      </c>
      <c r="J36" s="38">
        <f t="shared" si="4"/>
        <v>671</v>
      </c>
      <c r="K36" s="38">
        <f t="shared" si="4"/>
        <v>143</v>
      </c>
      <c r="L36" s="80">
        <f t="shared" si="2"/>
        <v>3724</v>
      </c>
    </row>
    <row r="38" spans="1:12" x14ac:dyDescent="0.2">
      <c r="A38" s="137" t="s">
        <v>56</v>
      </c>
      <c r="B38" s="138"/>
      <c r="C38" s="33">
        <v>10</v>
      </c>
      <c r="D38" s="33">
        <v>1</v>
      </c>
      <c r="E38" s="33">
        <v>6</v>
      </c>
      <c r="F38" s="56">
        <v>7</v>
      </c>
      <c r="G38" s="56">
        <v>4</v>
      </c>
      <c r="H38" s="56">
        <v>0</v>
      </c>
      <c r="I38" s="56">
        <v>0</v>
      </c>
      <c r="J38" s="56">
        <v>21</v>
      </c>
      <c r="K38" s="56">
        <v>3</v>
      </c>
      <c r="L38" s="120">
        <f>SUM(C38:K38)</f>
        <v>52</v>
      </c>
    </row>
    <row r="39" spans="1:12" x14ac:dyDescent="0.2">
      <c r="A39" s="60" t="s">
        <v>148</v>
      </c>
      <c r="B39" s="50"/>
      <c r="C39" s="38">
        <v>0</v>
      </c>
      <c r="D39" s="38">
        <v>0</v>
      </c>
      <c r="E39" s="38">
        <v>0</v>
      </c>
      <c r="F39" s="220">
        <v>21</v>
      </c>
      <c r="G39" s="220"/>
      <c r="H39" s="220">
        <v>4</v>
      </c>
      <c r="I39" s="220">
        <v>0</v>
      </c>
      <c r="J39" s="220">
        <v>228</v>
      </c>
      <c r="K39" s="220"/>
      <c r="L39" s="221">
        <f>SUM(C39:K39)</f>
        <v>253</v>
      </c>
    </row>
    <row r="40" spans="1:12" x14ac:dyDescent="0.2">
      <c r="A40" s="60"/>
      <c r="B40" s="50" t="s">
        <v>7</v>
      </c>
      <c r="C40" s="29">
        <f>SUM(C38:C39)</f>
        <v>10</v>
      </c>
      <c r="D40" s="29">
        <f t="shared" ref="D40:L40" si="5">SUM(D38:D39)</f>
        <v>1</v>
      </c>
      <c r="E40" s="29">
        <f t="shared" si="5"/>
        <v>6</v>
      </c>
      <c r="F40" s="29">
        <f t="shared" si="5"/>
        <v>28</v>
      </c>
      <c r="G40" s="29">
        <f t="shared" si="5"/>
        <v>4</v>
      </c>
      <c r="H40" s="29">
        <f t="shared" si="5"/>
        <v>4</v>
      </c>
      <c r="I40" s="29">
        <f t="shared" si="5"/>
        <v>0</v>
      </c>
      <c r="J40" s="29">
        <f t="shared" si="5"/>
        <v>249</v>
      </c>
      <c r="K40" s="29">
        <f t="shared" si="5"/>
        <v>3</v>
      </c>
      <c r="L40" s="29">
        <f t="shared" si="5"/>
        <v>305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0</v>
      </c>
      <c r="F42" s="123">
        <v>1</v>
      </c>
      <c r="G42" s="123">
        <v>0</v>
      </c>
      <c r="H42" s="123">
        <v>0</v>
      </c>
      <c r="I42" s="123">
        <v>0</v>
      </c>
      <c r="J42" s="123">
        <v>6</v>
      </c>
      <c r="K42" s="123">
        <v>0</v>
      </c>
      <c r="L42" s="124">
        <f>SUM(C42:K42)</f>
        <v>7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3</v>
      </c>
      <c r="F44" s="33">
        <v>0</v>
      </c>
      <c r="G44" s="33">
        <v>1</v>
      </c>
      <c r="H44" s="33">
        <v>0</v>
      </c>
      <c r="I44" s="33">
        <v>0</v>
      </c>
      <c r="J44" s="33">
        <v>3</v>
      </c>
      <c r="K44" s="33">
        <v>0</v>
      </c>
      <c r="L44" s="34">
        <f>SUM(C44:K44)</f>
        <v>7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51</v>
      </c>
      <c r="F45" s="38">
        <v>0</v>
      </c>
      <c r="G45" s="38">
        <v>17</v>
      </c>
      <c r="H45" s="38">
        <v>0</v>
      </c>
      <c r="I45" s="38">
        <v>0</v>
      </c>
      <c r="J45" s="38">
        <f>44+18+17</f>
        <v>79</v>
      </c>
      <c r="K45" s="38">
        <v>0</v>
      </c>
      <c r="L45" s="39">
        <f>SUM(C45:K45)</f>
        <v>147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/>
      <c r="D49" s="122"/>
      <c r="E49" s="122"/>
      <c r="F49" s="129"/>
      <c r="G49" s="129"/>
      <c r="H49" s="129">
        <v>2</v>
      </c>
      <c r="I49" s="129"/>
      <c r="J49" s="129"/>
      <c r="K49" s="129"/>
      <c r="L49" s="130">
        <f t="shared" ref="L49:L75" si="6">SUM(C49:K49)</f>
        <v>2</v>
      </c>
    </row>
    <row r="50" spans="2:12" x14ac:dyDescent="0.2">
      <c r="B50" s="100" t="s">
        <v>113</v>
      </c>
      <c r="C50" s="122"/>
      <c r="D50" s="122"/>
      <c r="E50" s="129"/>
      <c r="F50" s="122"/>
      <c r="G50" s="122"/>
      <c r="H50" s="122"/>
      <c r="I50" s="122"/>
      <c r="J50" s="122"/>
      <c r="K50" s="122"/>
      <c r="L50" s="130">
        <f t="shared" si="6"/>
        <v>0</v>
      </c>
    </row>
    <row r="51" spans="2:12" x14ac:dyDescent="0.2">
      <c r="B51" s="100" t="s">
        <v>103</v>
      </c>
      <c r="C51" s="122"/>
      <c r="D51" s="122"/>
      <c r="E51" s="122"/>
      <c r="F51" s="122"/>
      <c r="G51" s="129"/>
      <c r="H51" s="129"/>
      <c r="I51" s="122"/>
      <c r="J51" s="122"/>
      <c r="K51" s="129"/>
      <c r="L51" s="130">
        <f t="shared" si="6"/>
        <v>0</v>
      </c>
    </row>
    <row r="52" spans="2:12" x14ac:dyDescent="0.2">
      <c r="B52" s="100" t="s">
        <v>137</v>
      </c>
      <c r="C52" s="122"/>
      <c r="D52" s="122"/>
      <c r="E52" s="122"/>
      <c r="F52" s="122"/>
      <c r="G52" s="129">
        <v>1</v>
      </c>
      <c r="H52" s="122"/>
      <c r="I52" s="122"/>
      <c r="J52" s="122"/>
      <c r="K52" s="129"/>
      <c r="L52" s="130">
        <f t="shared" si="6"/>
        <v>1</v>
      </c>
    </row>
    <row r="53" spans="2:12" x14ac:dyDescent="0.2">
      <c r="B53" s="100" t="s">
        <v>149</v>
      </c>
      <c r="C53" s="129"/>
      <c r="D53" s="122"/>
      <c r="E53" s="122"/>
      <c r="F53" s="122"/>
      <c r="G53" s="129"/>
      <c r="H53" s="122"/>
      <c r="I53" s="122"/>
      <c r="J53" s="122"/>
      <c r="K53" s="129"/>
      <c r="L53" s="130">
        <f t="shared" si="6"/>
        <v>0</v>
      </c>
    </row>
    <row r="54" spans="2:12" x14ac:dyDescent="0.2">
      <c r="B54" s="100" t="s">
        <v>104</v>
      </c>
      <c r="C54" s="129"/>
      <c r="D54" s="122"/>
      <c r="E54" s="129"/>
      <c r="F54" s="129"/>
      <c r="G54" s="129"/>
      <c r="H54" s="122"/>
      <c r="I54" s="122"/>
      <c r="J54" s="122"/>
      <c r="K54" s="122"/>
      <c r="L54" s="130">
        <f t="shared" si="6"/>
        <v>0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/>
      <c r="D56" s="122"/>
      <c r="E56" s="129"/>
      <c r="F56" s="129"/>
      <c r="G56" s="129"/>
      <c r="H56" s="129"/>
      <c r="I56" s="129"/>
      <c r="J56" s="129"/>
      <c r="K56" s="129"/>
      <c r="L56" s="130">
        <f t="shared" si="6"/>
        <v>0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6"/>
        <v>0</v>
      </c>
    </row>
    <row r="58" spans="2:12" x14ac:dyDescent="0.2">
      <c r="B58" s="100" t="s">
        <v>102</v>
      </c>
      <c r="C58" s="122"/>
      <c r="D58" s="122"/>
      <c r="E58" s="129"/>
      <c r="F58" s="129"/>
      <c r="G58" s="129"/>
      <c r="H58" s="129"/>
      <c r="I58" s="122"/>
      <c r="J58" s="122"/>
      <c r="K58" s="129"/>
      <c r="L58" s="130">
        <f t="shared" si="6"/>
        <v>0</v>
      </c>
    </row>
    <row r="59" spans="2:12" x14ac:dyDescent="0.2">
      <c r="B59" s="100" t="s">
        <v>105</v>
      </c>
      <c r="C59" s="122"/>
      <c r="D59" s="122"/>
      <c r="E59" s="129"/>
      <c r="F59" s="129"/>
      <c r="G59" s="129"/>
      <c r="H59" s="129"/>
      <c r="I59" s="122"/>
      <c r="J59" s="122"/>
      <c r="K59" s="129"/>
      <c r="L59" s="130">
        <f t="shared" si="6"/>
        <v>0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6"/>
        <v>0</v>
      </c>
    </row>
    <row r="61" spans="2:12" x14ac:dyDescent="0.2">
      <c r="B61" s="111" t="s">
        <v>41</v>
      </c>
      <c r="C61" s="122"/>
      <c r="D61" s="122"/>
      <c r="E61" s="129">
        <v>13</v>
      </c>
      <c r="F61" s="129">
        <v>5</v>
      </c>
      <c r="G61" s="129">
        <v>4</v>
      </c>
      <c r="H61" s="129">
        <v>2</v>
      </c>
      <c r="I61" s="129"/>
      <c r="J61" s="129">
        <v>1</v>
      </c>
      <c r="K61" s="129"/>
      <c r="L61" s="130">
        <f t="shared" si="6"/>
        <v>25</v>
      </c>
    </row>
    <row r="62" spans="2:12" x14ac:dyDescent="0.2">
      <c r="B62" s="111" t="s">
        <v>40</v>
      </c>
      <c r="C62" s="122"/>
      <c r="D62" s="122"/>
      <c r="E62" s="129">
        <v>1</v>
      </c>
      <c r="F62" s="122"/>
      <c r="G62" s="129"/>
      <c r="H62" s="129"/>
      <c r="I62" s="129"/>
      <c r="J62" s="129"/>
      <c r="K62" s="129"/>
      <c r="L62" s="130">
        <f t="shared" si="6"/>
        <v>1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/>
      <c r="H64" s="129"/>
      <c r="I64" s="129"/>
      <c r="J64" s="129"/>
      <c r="K64" s="129"/>
      <c r="L64" s="130">
        <f t="shared" si="6"/>
        <v>0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/>
      <c r="I65" s="129"/>
      <c r="J65" s="129"/>
      <c r="K65" s="129"/>
      <c r="L65" s="130">
        <f t="shared" si="6"/>
        <v>0</v>
      </c>
    </row>
    <row r="66" spans="1:13" x14ac:dyDescent="0.2">
      <c r="B66" s="111" t="s">
        <v>80</v>
      </c>
      <c r="C66" s="129"/>
      <c r="D66" s="129"/>
      <c r="E66" s="129"/>
      <c r="F66" s="129">
        <v>10</v>
      </c>
      <c r="G66" s="129">
        <v>1</v>
      </c>
      <c r="H66" s="129"/>
      <c r="I66" s="129"/>
      <c r="J66" s="129">
        <v>9</v>
      </c>
      <c r="K66" s="129">
        <v>2</v>
      </c>
      <c r="L66" s="130">
        <f t="shared" si="6"/>
        <v>22</v>
      </c>
    </row>
    <row r="67" spans="1:13" x14ac:dyDescent="0.2">
      <c r="B67" s="100" t="s">
        <v>151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30">
        <f t="shared" si="6"/>
        <v>0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/>
      <c r="D69" s="122"/>
      <c r="E69" s="129"/>
      <c r="F69" s="129"/>
      <c r="G69" s="129"/>
      <c r="H69" s="129"/>
      <c r="I69" s="129"/>
      <c r="J69" s="129"/>
      <c r="K69" s="129"/>
      <c r="L69" s="130">
        <f t="shared" si="6"/>
        <v>0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6"/>
        <v>0</v>
      </c>
    </row>
    <row r="71" spans="1:13" x14ac:dyDescent="0.2">
      <c r="B71" s="100" t="s">
        <v>43</v>
      </c>
      <c r="C71" s="129"/>
      <c r="D71" s="122"/>
      <c r="E71" s="129"/>
      <c r="F71" s="129"/>
      <c r="G71" s="129"/>
      <c r="H71" s="129">
        <v>2</v>
      </c>
      <c r="I71" s="129"/>
      <c r="J71" s="129"/>
      <c r="K71" s="129"/>
      <c r="L71" s="130">
        <f t="shared" si="6"/>
        <v>2</v>
      </c>
    </row>
    <row r="72" spans="1:13" x14ac:dyDescent="0.2">
      <c r="B72" s="100" t="s">
        <v>42</v>
      </c>
      <c r="C72" s="122"/>
      <c r="D72" s="122"/>
      <c r="E72" s="122"/>
      <c r="F72" s="129"/>
      <c r="G72" s="122"/>
      <c r="H72" s="129"/>
      <c r="I72" s="129"/>
      <c r="J72" s="129"/>
      <c r="K72" s="129"/>
      <c r="L72" s="130">
        <f t="shared" si="6"/>
        <v>0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6"/>
        <v>0</v>
      </c>
    </row>
    <row r="75" spans="1:13" ht="13.5" thickBot="1" x14ac:dyDescent="0.25">
      <c r="B75" s="66" t="s">
        <v>66</v>
      </c>
      <c r="C75" s="3"/>
      <c r="D75" s="3"/>
      <c r="E75" s="3">
        <v>1</v>
      </c>
      <c r="F75" s="3">
        <v>1</v>
      </c>
      <c r="G75" s="3">
        <v>2</v>
      </c>
      <c r="H75" s="3"/>
      <c r="I75" s="3"/>
      <c r="J75" s="3">
        <v>2</v>
      </c>
      <c r="K75" s="3"/>
      <c r="L75" s="176">
        <f t="shared" si="6"/>
        <v>6</v>
      </c>
    </row>
    <row r="76" spans="1:13" ht="13.5" thickTop="1" x14ac:dyDescent="0.2">
      <c r="B76" s="58" t="s">
        <v>7</v>
      </c>
      <c r="C76" s="38">
        <f>SUM(C49:C75)</f>
        <v>0</v>
      </c>
      <c r="D76" s="38">
        <f t="shared" ref="D76:L76" si="7">SUM(D49:D75)</f>
        <v>0</v>
      </c>
      <c r="E76" s="38">
        <f>SUM(E49:E75)</f>
        <v>15</v>
      </c>
      <c r="F76" s="38">
        <f t="shared" si="7"/>
        <v>16</v>
      </c>
      <c r="G76" s="38">
        <f t="shared" si="7"/>
        <v>8</v>
      </c>
      <c r="H76" s="38">
        <f t="shared" si="7"/>
        <v>6</v>
      </c>
      <c r="I76" s="38">
        <f t="shared" si="7"/>
        <v>0</v>
      </c>
      <c r="J76" s="38">
        <f t="shared" si="7"/>
        <v>12</v>
      </c>
      <c r="K76" s="38">
        <f t="shared" si="7"/>
        <v>2</v>
      </c>
      <c r="L76" s="38">
        <f t="shared" si="7"/>
        <v>59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47321</v>
      </c>
      <c r="C82" s="29">
        <f>86+42+23</f>
        <v>151</v>
      </c>
      <c r="D82" s="29">
        <v>1458</v>
      </c>
      <c r="E82" s="4">
        <f>4+43+14+8+79+25+30+67+6+30+1</f>
        <v>307</v>
      </c>
      <c r="F82" s="4">
        <f>55+3+18+4+1+1+5+4+5+2+1+33+16+11+4+65+3+4+2+9+3+10+2+19+14+4+8+1+15+2+24+7+1+7+3+12+13+9+3+24+5+3+1+2+3</f>
        <v>441</v>
      </c>
      <c r="G82" s="29">
        <v>955</v>
      </c>
      <c r="H82" s="4">
        <f>20+174+2513</f>
        <v>2707</v>
      </c>
      <c r="I82" s="4">
        <v>94</v>
      </c>
      <c r="J82" s="29">
        <v>17</v>
      </c>
      <c r="K82" s="4">
        <v>115</v>
      </c>
      <c r="L82" s="29">
        <v>4439</v>
      </c>
      <c r="M82" s="36">
        <f>SUM(B82:L82)</f>
        <v>58005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215</v>
      </c>
      <c r="L84" s="29"/>
    </row>
    <row r="85" spans="1:13" x14ac:dyDescent="0.2">
      <c r="A85" s="29"/>
      <c r="B85" s="29"/>
      <c r="C85" s="29"/>
      <c r="D85" s="29"/>
      <c r="E85" s="29"/>
      <c r="F85" s="29"/>
      <c r="G85" s="47" t="s">
        <v>240</v>
      </c>
      <c r="H85" s="29"/>
      <c r="J85" s="29"/>
      <c r="K85" s="29" t="s">
        <v>214</v>
      </c>
      <c r="L85" s="29"/>
    </row>
    <row r="86" spans="1:13" x14ac:dyDescent="0.2">
      <c r="A86" s="137" t="s">
        <v>86</v>
      </c>
      <c r="B86" s="138"/>
      <c r="C86" s="64">
        <v>134</v>
      </c>
      <c r="F86" s="137" t="s">
        <v>48</v>
      </c>
      <c r="G86" s="138"/>
      <c r="H86" s="64">
        <v>7</v>
      </c>
      <c r="J86" s="137" t="s">
        <v>73</v>
      </c>
      <c r="K86" s="142"/>
      <c r="L86" s="142"/>
      <c r="M86" s="34">
        <v>0</v>
      </c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7</v>
      </c>
      <c r="J87" s="140" t="s">
        <v>74</v>
      </c>
      <c r="K87" s="152"/>
      <c r="L87" s="152"/>
      <c r="M87" s="39">
        <v>4</v>
      </c>
    </row>
    <row r="88" spans="1:13" x14ac:dyDescent="0.2">
      <c r="A88" s="140" t="s">
        <v>87</v>
      </c>
      <c r="B88" s="152"/>
      <c r="C88" s="39">
        <v>18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v>8</v>
      </c>
      <c r="D91" s="6"/>
      <c r="E91" s="31" t="s">
        <v>9</v>
      </c>
      <c r="F91" s="29"/>
      <c r="G91" s="36">
        <f>358+26</f>
        <v>384</v>
      </c>
      <c r="I91" s="35" t="s">
        <v>127</v>
      </c>
      <c r="J91" s="29"/>
      <c r="K91" s="29"/>
      <c r="L91" s="36">
        <v>515</v>
      </c>
      <c r="M91" s="6"/>
    </row>
    <row r="92" spans="1:13" x14ac:dyDescent="0.2">
      <c r="A92" s="35" t="s">
        <v>28</v>
      </c>
      <c r="B92" s="29"/>
      <c r="C92" s="36">
        <v>1</v>
      </c>
      <c r="D92" s="6"/>
      <c r="E92" s="31" t="s">
        <v>10</v>
      </c>
      <c r="F92" s="29"/>
      <c r="G92" s="36">
        <v>188</v>
      </c>
      <c r="I92" s="35" t="s">
        <v>128</v>
      </c>
      <c r="J92" s="29"/>
      <c r="K92" s="29"/>
      <c r="L92" s="36">
        <v>84</v>
      </c>
      <c r="M92" s="6"/>
    </row>
    <row r="93" spans="1:13" x14ac:dyDescent="0.2">
      <c r="A93" s="35" t="s">
        <v>118</v>
      </c>
      <c r="B93" s="29"/>
      <c r="C93" s="36">
        <f>27+2+3</f>
        <v>32</v>
      </c>
      <c r="D93" s="6"/>
      <c r="E93" s="31" t="s">
        <v>11</v>
      </c>
      <c r="F93" s="29"/>
      <c r="G93" s="36">
        <v>30</v>
      </c>
      <c r="I93" s="35" t="s">
        <v>45</v>
      </c>
      <c r="J93" s="29"/>
      <c r="K93" s="29"/>
      <c r="L93" s="36">
        <v>32</v>
      </c>
      <c r="M93" s="6"/>
    </row>
    <row r="94" spans="1:13" x14ac:dyDescent="0.2">
      <c r="A94" s="35" t="s">
        <v>119</v>
      </c>
      <c r="B94" s="47"/>
      <c r="C94" s="36">
        <f>659+42+3</f>
        <v>704</v>
      </c>
      <c r="D94" s="6"/>
      <c r="E94" s="31" t="s">
        <v>37</v>
      </c>
      <c r="F94" s="29"/>
      <c r="G94" s="36">
        <f>277+11</f>
        <v>288</v>
      </c>
      <c r="I94" s="35" t="s">
        <v>46</v>
      </c>
      <c r="J94" s="29"/>
      <c r="K94" s="29"/>
      <c r="L94" s="36">
        <v>12</v>
      </c>
      <c r="M94" s="6"/>
    </row>
    <row r="95" spans="1:13" x14ac:dyDescent="0.2">
      <c r="A95" s="35" t="s">
        <v>101</v>
      </c>
      <c r="B95" s="47"/>
      <c r="C95" s="36">
        <f>29+21+1+1</f>
        <v>52</v>
      </c>
      <c r="D95" s="6"/>
      <c r="E95" s="41" t="s">
        <v>38</v>
      </c>
      <c r="F95" s="38"/>
      <c r="G95" s="39">
        <v>0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v>6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v>38</v>
      </c>
    </row>
    <row r="98" spans="1:13" x14ac:dyDescent="0.2">
      <c r="A98" s="35" t="s">
        <v>120</v>
      </c>
      <c r="B98" s="29"/>
      <c r="C98" s="36">
        <v>0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47</v>
      </c>
    </row>
    <row r="100" spans="1:13" x14ac:dyDescent="0.2">
      <c r="A100" s="89" t="s">
        <v>122</v>
      </c>
      <c r="B100" s="47"/>
      <c r="C100" s="36">
        <v>0</v>
      </c>
      <c r="E100" s="35" t="s">
        <v>32</v>
      </c>
      <c r="F100" s="47"/>
      <c r="G100" s="47"/>
      <c r="H100" s="42">
        <v>25</v>
      </c>
    </row>
    <row r="101" spans="1:13" x14ac:dyDescent="0.2">
      <c r="A101" s="89" t="s">
        <v>18</v>
      </c>
      <c r="B101" s="29"/>
      <c r="C101" s="51">
        <v>10</v>
      </c>
      <c r="E101" s="37" t="s">
        <v>47</v>
      </c>
      <c r="F101" s="55"/>
      <c r="G101" s="38"/>
      <c r="H101" s="39">
        <v>0</v>
      </c>
      <c r="I101" s="2"/>
      <c r="J101" s="1"/>
    </row>
    <row r="102" spans="1:13" x14ac:dyDescent="0.2">
      <c r="A102" s="91" t="s">
        <v>20</v>
      </c>
      <c r="B102" s="38"/>
      <c r="C102" s="39">
        <f>294+38+71</f>
        <v>403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2"/>
      <c r="J103" s="1"/>
    </row>
    <row r="104" spans="1:13" x14ac:dyDescent="0.2">
      <c r="A104" s="79"/>
      <c r="B104" s="29"/>
      <c r="C104" s="29"/>
      <c r="I104" s="2"/>
      <c r="J104" s="1"/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721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0</v>
      </c>
      <c r="E108" s="111">
        <v>22</v>
      </c>
      <c r="F108" s="31"/>
      <c r="H108" s="1"/>
      <c r="I108" s="60" t="s">
        <v>133</v>
      </c>
      <c r="J108" s="50"/>
      <c r="L108">
        <v>799</v>
      </c>
      <c r="M108" s="36"/>
    </row>
    <row r="109" spans="1:13" x14ac:dyDescent="0.2">
      <c r="A109" s="1"/>
      <c r="B109" s="228" t="s">
        <v>97</v>
      </c>
      <c r="C109" s="229"/>
      <c r="D109" s="15">
        <v>135</v>
      </c>
      <c r="E109" s="157"/>
      <c r="F109" s="31"/>
      <c r="I109" s="60" t="s">
        <v>212</v>
      </c>
      <c r="K109" s="29"/>
      <c r="L109" s="29">
        <v>15</v>
      </c>
      <c r="M109" s="36"/>
    </row>
    <row r="110" spans="1:13" x14ac:dyDescent="0.2">
      <c r="B110" s="194" t="s">
        <v>348</v>
      </c>
      <c r="C110" s="15"/>
      <c r="D110" s="15">
        <v>87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385</v>
      </c>
      <c r="E111" s="112"/>
      <c r="F111" s="160"/>
      <c r="I111" s="60" t="s">
        <v>145</v>
      </c>
      <c r="J111" s="50"/>
      <c r="K111" s="50"/>
      <c r="L111" s="47">
        <v>1</v>
      </c>
      <c r="M111" s="63"/>
    </row>
    <row r="112" spans="1:13" x14ac:dyDescent="0.2">
      <c r="A112" s="1"/>
      <c r="B112" s="224"/>
      <c r="C112" s="225"/>
      <c r="D112" s="15"/>
      <c r="E112" s="112"/>
      <c r="F112" s="160"/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46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40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21</v>
      </c>
      <c r="E115" s="115"/>
      <c r="F115" s="161"/>
      <c r="I115" s="87" t="s">
        <v>111</v>
      </c>
      <c r="J115" s="33"/>
      <c r="K115" s="88">
        <v>1027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256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/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18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0</v>
      </c>
      <c r="E120" s="114">
        <v>70</v>
      </c>
      <c r="F120" s="163"/>
      <c r="I120" s="95" t="s">
        <v>22</v>
      </c>
      <c r="J120" s="86"/>
      <c r="K120" s="29">
        <v>2</v>
      </c>
      <c r="L120" s="29">
        <v>0</v>
      </c>
      <c r="M120" s="94">
        <f>SUM(K120:L120)</f>
        <v>2</v>
      </c>
    </row>
    <row r="121" spans="1:13" x14ac:dyDescent="0.2">
      <c r="B121" s="100" t="s">
        <v>144</v>
      </c>
      <c r="D121" s="13">
        <v>0</v>
      </c>
      <c r="E121" s="111"/>
      <c r="F121" s="31"/>
      <c r="I121" s="171" t="s">
        <v>169</v>
      </c>
      <c r="J121" s="86"/>
      <c r="K121" s="29">
        <v>0</v>
      </c>
      <c r="L121" s="29">
        <v>0</v>
      </c>
      <c r="M121" s="94">
        <f>SUM(K121:L121)</f>
        <v>0</v>
      </c>
    </row>
    <row r="122" spans="1:13" x14ac:dyDescent="0.2">
      <c r="A122" s="1"/>
      <c r="B122" s="32" t="s">
        <v>159</v>
      </c>
      <c r="C122" s="13"/>
      <c r="D122" s="13">
        <v>226</v>
      </c>
      <c r="E122" s="115"/>
      <c r="F122" s="162"/>
      <c r="I122" s="171" t="s">
        <v>170</v>
      </c>
      <c r="J122" s="86"/>
      <c r="K122" s="29">
        <v>0</v>
      </c>
      <c r="L122" s="29">
        <v>0</v>
      </c>
      <c r="M122" s="94">
        <f>SUM(K122:L122)</f>
        <v>0</v>
      </c>
    </row>
    <row r="123" spans="1:13" x14ac:dyDescent="0.2">
      <c r="A123" s="1"/>
      <c r="B123" s="101" t="s">
        <v>135</v>
      </c>
      <c r="C123" s="13"/>
      <c r="D123" s="13">
        <v>72</v>
      </c>
      <c r="E123" s="158"/>
      <c r="F123" s="162"/>
      <c r="I123" s="172" t="s">
        <v>23</v>
      </c>
      <c r="J123" s="173"/>
      <c r="K123" s="93">
        <v>26</v>
      </c>
      <c r="L123" s="93">
        <v>0</v>
      </c>
      <c r="M123" s="174">
        <f>SUM(K123:L123)</f>
        <v>26</v>
      </c>
    </row>
    <row r="124" spans="1:13" x14ac:dyDescent="0.2">
      <c r="A124" s="1"/>
      <c r="B124" s="101" t="s">
        <v>141</v>
      </c>
      <c r="C124" s="13"/>
      <c r="D124" s="13">
        <v>28</v>
      </c>
      <c r="E124" s="158"/>
      <c r="F124" s="162"/>
      <c r="I124" s="171" t="s">
        <v>146</v>
      </c>
      <c r="J124" s="86"/>
      <c r="K124" s="4">
        <v>3</v>
      </c>
      <c r="L124" s="4"/>
      <c r="M124" s="94">
        <f>SUM(K124:L124)</f>
        <v>3</v>
      </c>
    </row>
    <row r="125" spans="1:13" x14ac:dyDescent="0.2">
      <c r="A125" s="1"/>
      <c r="B125" s="101" t="s">
        <v>126</v>
      </c>
      <c r="C125" s="13"/>
      <c r="D125" s="13">
        <v>127</v>
      </c>
      <c r="E125" s="158"/>
      <c r="F125" s="162"/>
      <c r="I125" s="96" t="s">
        <v>274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/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SUM(D107:D125)</f>
        <v>1906</v>
      </c>
      <c r="E127">
        <f>SUM(E107:E126)</f>
        <v>92</v>
      </c>
      <c r="I127" s="132" t="s">
        <v>106</v>
      </c>
      <c r="J127" s="139"/>
      <c r="K127" s="105">
        <v>6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0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v>67</v>
      </c>
      <c r="D134" s="29">
        <v>76</v>
      </c>
      <c r="E134" s="29">
        <v>553</v>
      </c>
      <c r="F134" s="4">
        <v>296</v>
      </c>
      <c r="G134" s="4">
        <v>132</v>
      </c>
      <c r="H134" s="4">
        <v>23</v>
      </c>
      <c r="I134" s="4">
        <v>56</v>
      </c>
      <c r="J134" s="4">
        <v>258</v>
      </c>
      <c r="K134" s="4">
        <v>363</v>
      </c>
      <c r="L134" s="51">
        <f>SUM(C134:K134)</f>
        <v>1824</v>
      </c>
    </row>
    <row r="135" spans="1:13" x14ac:dyDescent="0.2">
      <c r="A135" s="31"/>
      <c r="B135" s="50" t="s">
        <v>9</v>
      </c>
      <c r="C135" s="169" t="s">
        <v>158</v>
      </c>
      <c r="D135" s="169" t="s">
        <v>158</v>
      </c>
      <c r="E135" s="169" t="s">
        <v>158</v>
      </c>
      <c r="F135" s="170">
        <v>74</v>
      </c>
      <c r="G135" s="170" t="s">
        <v>158</v>
      </c>
      <c r="H135" s="170" t="s">
        <v>158</v>
      </c>
      <c r="I135" s="170" t="s">
        <v>158</v>
      </c>
      <c r="J135" s="170">
        <v>151</v>
      </c>
      <c r="K135" s="170" t="s">
        <v>158</v>
      </c>
      <c r="L135" s="51">
        <f>SUM(C135:K135)</f>
        <v>225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20</v>
      </c>
      <c r="E136" s="155">
        <v>0</v>
      </c>
      <c r="F136" s="155">
        <v>3</v>
      </c>
      <c r="G136" s="155">
        <v>0</v>
      </c>
      <c r="H136" s="155">
        <v>0</v>
      </c>
      <c r="I136" s="168" t="s">
        <v>158</v>
      </c>
      <c r="J136" s="155">
        <v>0</v>
      </c>
      <c r="K136" s="155">
        <v>1</v>
      </c>
      <c r="L136" s="131">
        <f>SUM(C136:K136)</f>
        <v>24</v>
      </c>
    </row>
    <row r="137" spans="1:13" ht="13.5" thickTop="1" x14ac:dyDescent="0.2">
      <c r="A137" s="31"/>
      <c r="B137" s="50" t="s">
        <v>14</v>
      </c>
      <c r="C137" s="29">
        <f>SUM(C134:C136)</f>
        <v>67</v>
      </c>
      <c r="D137" s="29">
        <f t="shared" ref="D137:L137" si="8">SUM(D134:D136)</f>
        <v>96</v>
      </c>
      <c r="E137" s="29">
        <f t="shared" si="8"/>
        <v>553</v>
      </c>
      <c r="F137" s="29">
        <f t="shared" si="8"/>
        <v>373</v>
      </c>
      <c r="G137" s="29">
        <f t="shared" si="8"/>
        <v>132</v>
      </c>
      <c r="H137" s="29">
        <f t="shared" si="8"/>
        <v>23</v>
      </c>
      <c r="I137" s="29">
        <f t="shared" si="8"/>
        <v>56</v>
      </c>
      <c r="J137" s="29">
        <f t="shared" si="8"/>
        <v>409</v>
      </c>
      <c r="K137" s="29">
        <f t="shared" si="8"/>
        <v>364</v>
      </c>
      <c r="L137" s="29">
        <f t="shared" si="8"/>
        <v>2073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46" t="s">
        <v>192</v>
      </c>
      <c r="B143" s="20"/>
      <c r="C143" s="20"/>
      <c r="D143" s="20"/>
      <c r="E143" s="20"/>
      <c r="F143" s="21"/>
      <c r="G143" s="127"/>
      <c r="H143" s="22"/>
      <c r="I143" s="68"/>
      <c r="J143" s="69"/>
      <c r="K143" s="70"/>
      <c r="L143" s="70"/>
      <c r="M143" s="103"/>
    </row>
    <row r="144" spans="1:13" ht="18" x14ac:dyDescent="0.25">
      <c r="B144" s="20"/>
      <c r="C144" s="20"/>
      <c r="D144" s="20"/>
      <c r="E144" s="20"/>
      <c r="F144" s="68"/>
      <c r="G144" s="69"/>
      <c r="H144" s="68"/>
      <c r="I144" s="68"/>
      <c r="J144" s="68"/>
      <c r="K144" s="71"/>
      <c r="L144" s="71"/>
      <c r="M144" s="72"/>
    </row>
    <row r="145" spans="1:13" x14ac:dyDescent="0.2">
      <c r="A145" s="27" t="s">
        <v>154</v>
      </c>
      <c r="B145" s="20"/>
      <c r="C145" s="20"/>
      <c r="D145" s="20"/>
      <c r="E145" s="20"/>
      <c r="F145" s="21"/>
      <c r="G145" s="28" t="s">
        <v>155</v>
      </c>
      <c r="H145" s="68"/>
      <c r="I145" s="68"/>
      <c r="J145" s="68"/>
      <c r="K145" s="71"/>
      <c r="L145" s="71"/>
      <c r="M145" s="72"/>
    </row>
    <row r="146" spans="1:13" x14ac:dyDescent="0.2">
      <c r="A146" s="125" t="s">
        <v>211</v>
      </c>
      <c r="B146" s="29"/>
      <c r="C146" s="29"/>
      <c r="D146" s="29"/>
      <c r="E146" s="29"/>
      <c r="F146" s="29"/>
      <c r="G146" s="127"/>
      <c r="H146" s="29"/>
      <c r="I146" s="29"/>
      <c r="J146" s="29"/>
      <c r="K146" s="29"/>
      <c r="L146" s="29"/>
      <c r="M146" s="36"/>
    </row>
    <row r="147" spans="1:13" ht="18" x14ac:dyDescent="0.25">
      <c r="A147" s="126" t="s">
        <v>193</v>
      </c>
      <c r="B147" s="74"/>
      <c r="C147" s="20"/>
      <c r="D147" s="20"/>
      <c r="E147" s="20"/>
      <c r="F147" s="68"/>
      <c r="G147" s="28" t="s">
        <v>101</v>
      </c>
      <c r="H147" s="68"/>
      <c r="I147" s="22"/>
      <c r="J147" s="45"/>
      <c r="K147" s="20"/>
      <c r="L147" s="20"/>
      <c r="M147" s="23"/>
    </row>
    <row r="148" spans="1:13" ht="18" x14ac:dyDescent="0.25">
      <c r="A148" s="125" t="s">
        <v>204</v>
      </c>
      <c r="B148" s="20"/>
      <c r="C148" s="20"/>
      <c r="D148" s="20"/>
      <c r="E148" s="20"/>
      <c r="F148" s="68"/>
      <c r="G148" s="175" t="s">
        <v>188</v>
      </c>
      <c r="H148" s="22"/>
      <c r="I148" s="68"/>
      <c r="J148" s="68"/>
      <c r="K148" s="20"/>
      <c r="L148" s="20"/>
      <c r="M148" s="23"/>
    </row>
    <row r="149" spans="1:13" ht="18" x14ac:dyDescent="0.25">
      <c r="A149" s="125" t="s">
        <v>210</v>
      </c>
      <c r="B149" s="74"/>
      <c r="C149" s="20"/>
      <c r="D149" s="20"/>
      <c r="E149" s="20"/>
      <c r="F149" s="20"/>
      <c r="G149" s="178" t="s">
        <v>195</v>
      </c>
      <c r="H149" s="22"/>
      <c r="I149" s="22"/>
      <c r="J149" s="22"/>
      <c r="K149" s="22"/>
      <c r="L149" s="20"/>
      <c r="M149" s="23"/>
    </row>
    <row r="150" spans="1:13" x14ac:dyDescent="0.2">
      <c r="A150" s="126"/>
      <c r="B150" s="28"/>
      <c r="C150" s="28"/>
      <c r="D150" s="20"/>
      <c r="E150" s="28"/>
      <c r="F150" s="77"/>
      <c r="G150" s="127" t="s">
        <v>202</v>
      </c>
      <c r="H150" s="29"/>
      <c r="I150" s="68"/>
      <c r="J150" s="68"/>
      <c r="K150" s="20"/>
      <c r="L150" s="20"/>
      <c r="M150" s="23"/>
    </row>
    <row r="151" spans="1:13" x14ac:dyDescent="0.2">
      <c r="A151" s="125"/>
      <c r="B151" s="20"/>
      <c r="C151" s="20"/>
      <c r="D151" s="20"/>
      <c r="E151" s="20"/>
      <c r="F151" s="77"/>
      <c r="G151" s="127" t="s">
        <v>206</v>
      </c>
      <c r="H151" s="29"/>
      <c r="I151" s="68"/>
      <c r="J151" s="68"/>
      <c r="K151" s="20"/>
      <c r="L151" s="20"/>
      <c r="M151" s="23"/>
    </row>
    <row r="152" spans="1:13" x14ac:dyDescent="0.2">
      <c r="A152" s="46"/>
      <c r="B152" s="20"/>
      <c r="C152" s="20"/>
      <c r="D152" s="20"/>
      <c r="E152" s="20"/>
      <c r="F152" s="77"/>
      <c r="K152" s="20"/>
      <c r="L152" s="20"/>
      <c r="M152" s="23"/>
    </row>
    <row r="153" spans="1:13" ht="18" x14ac:dyDescent="0.25">
      <c r="A153" s="116" t="s">
        <v>157</v>
      </c>
      <c r="B153" s="29"/>
      <c r="C153" s="29"/>
      <c r="D153" s="29"/>
      <c r="E153" s="29"/>
      <c r="F153" s="21"/>
      <c r="G153" s="109" t="s">
        <v>156</v>
      </c>
      <c r="H153" s="29"/>
      <c r="I153" s="22"/>
      <c r="J153" s="22"/>
      <c r="K153" s="20"/>
      <c r="L153" s="20"/>
      <c r="M153" s="23"/>
    </row>
    <row r="154" spans="1:13" x14ac:dyDescent="0.2">
      <c r="A154" s="126" t="s">
        <v>191</v>
      </c>
      <c r="B154" s="20"/>
      <c r="C154" s="20"/>
      <c r="D154" s="20"/>
      <c r="E154" s="20"/>
      <c r="F154" s="21"/>
      <c r="G154" s="127" t="s">
        <v>189</v>
      </c>
      <c r="H154" s="29"/>
      <c r="I154" s="68"/>
      <c r="J154" s="68"/>
      <c r="K154" s="71"/>
      <c r="L154" s="71"/>
      <c r="M154" s="72"/>
    </row>
    <row r="155" spans="1:13" x14ac:dyDescent="0.2">
      <c r="A155" s="126" t="s">
        <v>197</v>
      </c>
      <c r="B155" s="20"/>
      <c r="C155" s="20"/>
      <c r="D155" s="20"/>
      <c r="E155" s="20"/>
      <c r="F155" s="21"/>
      <c r="G155" s="127" t="s">
        <v>190</v>
      </c>
      <c r="H155" s="29"/>
      <c r="I155" s="68"/>
      <c r="J155" s="68"/>
      <c r="K155" s="71"/>
      <c r="L155" s="71"/>
      <c r="M155" s="72"/>
    </row>
    <row r="156" spans="1:13" x14ac:dyDescent="0.2">
      <c r="A156" s="126" t="s">
        <v>198</v>
      </c>
      <c r="B156" s="20"/>
      <c r="C156" s="20"/>
      <c r="D156" s="20"/>
      <c r="E156" s="20"/>
      <c r="F156" s="21"/>
      <c r="G156" s="178" t="s">
        <v>194</v>
      </c>
      <c r="H156" s="29"/>
      <c r="I156" s="68"/>
      <c r="J156" s="68"/>
      <c r="K156" s="71"/>
      <c r="L156" s="71"/>
      <c r="M156" s="72"/>
    </row>
    <row r="157" spans="1:13" ht="18" x14ac:dyDescent="0.25">
      <c r="A157" s="125" t="s">
        <v>199</v>
      </c>
      <c r="B157" s="20"/>
      <c r="C157" s="20"/>
      <c r="D157" s="20"/>
      <c r="E157" s="20"/>
      <c r="F157" s="21"/>
      <c r="G157" s="178" t="s">
        <v>196</v>
      </c>
      <c r="H157" s="29"/>
      <c r="I157" s="22"/>
      <c r="J157" s="22"/>
      <c r="K157" s="71"/>
      <c r="L157" s="71"/>
      <c r="M157" s="72"/>
    </row>
    <row r="158" spans="1:13" x14ac:dyDescent="0.2">
      <c r="A158" s="125" t="s">
        <v>203</v>
      </c>
      <c r="B158" s="20"/>
      <c r="C158" s="20"/>
      <c r="D158" s="29"/>
      <c r="E158" s="29"/>
      <c r="F158" s="29"/>
      <c r="G158" s="178" t="s">
        <v>200</v>
      </c>
      <c r="H158" s="29"/>
      <c r="I158" s="29"/>
      <c r="J158" s="29"/>
      <c r="K158" s="29"/>
      <c r="L158" s="29"/>
      <c r="M158" s="36"/>
    </row>
    <row r="159" spans="1:13" x14ac:dyDescent="0.2">
      <c r="A159" s="125" t="s">
        <v>201</v>
      </c>
      <c r="B159" s="20"/>
      <c r="C159" s="20"/>
      <c r="D159" s="20"/>
      <c r="E159" s="20"/>
      <c r="F159" s="21"/>
      <c r="G159" s="178" t="s">
        <v>205</v>
      </c>
      <c r="H159" s="29"/>
      <c r="I159" s="29"/>
      <c r="J159" s="29"/>
      <c r="K159" s="71"/>
      <c r="L159" s="71"/>
      <c r="M159" s="72"/>
    </row>
    <row r="160" spans="1:13" x14ac:dyDescent="0.2">
      <c r="A160" s="125"/>
      <c r="B160" s="28"/>
      <c r="C160" s="28"/>
      <c r="D160" s="20"/>
      <c r="E160" s="20"/>
      <c r="F160" s="21"/>
      <c r="G160" s="178" t="s">
        <v>207</v>
      </c>
      <c r="H160" s="29"/>
      <c r="I160" s="68"/>
      <c r="J160" s="68"/>
      <c r="K160" s="71"/>
      <c r="L160" s="71"/>
      <c r="M160" s="72"/>
    </row>
    <row r="161" spans="1:13" x14ac:dyDescent="0.2">
      <c r="A161" s="125"/>
      <c r="B161" s="20"/>
      <c r="C161" s="20"/>
      <c r="D161" s="20"/>
      <c r="E161" s="74"/>
      <c r="F161" s="20"/>
      <c r="G161" s="178" t="s">
        <v>208</v>
      </c>
      <c r="H161" s="29"/>
      <c r="I161" s="20"/>
      <c r="J161" s="68"/>
      <c r="K161" s="29"/>
      <c r="L161" s="29"/>
      <c r="M161" s="36"/>
    </row>
    <row r="162" spans="1:13" ht="18" x14ac:dyDescent="0.25">
      <c r="A162" s="31"/>
      <c r="B162" s="20"/>
      <c r="C162" s="20"/>
      <c r="D162" s="20"/>
      <c r="E162" s="20"/>
      <c r="F162" s="21"/>
      <c r="G162" s="178" t="s">
        <v>209</v>
      </c>
      <c r="H162" s="29"/>
      <c r="I162" s="22"/>
      <c r="J162" s="22"/>
      <c r="K162" s="20"/>
      <c r="L162" s="20"/>
      <c r="M162" s="23"/>
    </row>
    <row r="163" spans="1:13" ht="18" x14ac:dyDescent="0.25">
      <c r="A163" s="31"/>
      <c r="B163" s="20"/>
      <c r="C163" s="20"/>
      <c r="D163" s="20"/>
      <c r="E163" s="74"/>
      <c r="F163" s="68"/>
      <c r="H163" s="69"/>
      <c r="I163" s="68"/>
      <c r="J163" s="69"/>
      <c r="K163" s="70"/>
      <c r="L163" s="70"/>
      <c r="M163" s="23"/>
    </row>
    <row r="164" spans="1:13" ht="18" x14ac:dyDescent="0.25">
      <c r="A164" s="107"/>
      <c r="B164" s="24"/>
      <c r="C164" s="24"/>
      <c r="D164" s="24"/>
      <c r="E164" s="102"/>
      <c r="F164" s="76"/>
      <c r="G164" s="108"/>
      <c r="H164" s="108"/>
      <c r="I164" s="76"/>
      <c r="J164" s="108"/>
      <c r="K164" s="75"/>
      <c r="L164" s="75"/>
      <c r="M164" s="99"/>
    </row>
    <row r="165" spans="1:13" x14ac:dyDescent="0.2">
      <c r="A165" s="74"/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0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08:C108"/>
    <mergeCell ref="B112:C112"/>
    <mergeCell ref="B116:C116"/>
    <mergeCell ref="B117:C117"/>
    <mergeCell ref="B119:C119"/>
    <mergeCell ref="B109:C109"/>
    <mergeCell ref="B118:C118"/>
  </mergeCells>
  <pageMargins left="0.5" right="0.5" top="0.5" bottom="0.5" header="0.3" footer="0.5"/>
  <pageSetup fitToHeight="0" orientation="landscape" r:id="rId1"/>
  <headerFooter>
    <oddHeader>&amp;C
&amp;RAug 2016
 - 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topLeftCell="A10" zoomScaleNormal="100" workbookViewId="0">
      <selection activeCell="D10" sqref="D10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 t="s">
        <v>185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161</v>
      </c>
      <c r="D7" s="29">
        <v>9</v>
      </c>
      <c r="E7" s="29">
        <v>119</v>
      </c>
      <c r="F7" s="61">
        <v>565</v>
      </c>
      <c r="G7" s="61">
        <v>82</v>
      </c>
      <c r="H7" s="61">
        <v>4</v>
      </c>
      <c r="I7" s="61">
        <v>4</v>
      </c>
      <c r="J7" s="61">
        <v>571</v>
      </c>
      <c r="K7" s="61">
        <v>30</v>
      </c>
      <c r="L7" s="166"/>
      <c r="M7" s="51">
        <f>SUM(C7:L7)</f>
        <v>1545</v>
      </c>
    </row>
    <row r="8" spans="1:18" x14ac:dyDescent="0.2">
      <c r="A8" s="31"/>
      <c r="B8" s="47" t="s">
        <v>146</v>
      </c>
      <c r="C8" s="29">
        <v>5</v>
      </c>
      <c r="D8" s="29">
        <v>0</v>
      </c>
      <c r="E8" s="29">
        <v>15</v>
      </c>
      <c r="F8" s="61">
        <v>55</v>
      </c>
      <c r="G8" s="61">
        <v>11</v>
      </c>
      <c r="H8" s="61">
        <v>0</v>
      </c>
      <c r="I8" s="61">
        <v>0</v>
      </c>
      <c r="J8" s="61">
        <v>50</v>
      </c>
      <c r="K8" s="61">
        <v>1</v>
      </c>
      <c r="L8" s="167">
        <v>30</v>
      </c>
      <c r="M8" s="51">
        <f>SUM(C8:L8)</f>
        <v>167</v>
      </c>
    </row>
    <row r="9" spans="1:18" ht="13.5" thickBot="1" x14ac:dyDescent="0.25">
      <c r="A9" s="31"/>
      <c r="B9" s="47" t="s">
        <v>147</v>
      </c>
      <c r="C9" s="3">
        <v>10</v>
      </c>
      <c r="D9" s="3">
        <v>0</v>
      </c>
      <c r="E9" s="3">
        <v>0</v>
      </c>
      <c r="F9" s="3">
        <v>37</v>
      </c>
      <c r="G9" s="3">
        <v>20</v>
      </c>
      <c r="H9" s="3">
        <v>0</v>
      </c>
      <c r="I9" s="3">
        <v>0</v>
      </c>
      <c r="J9" s="3">
        <v>20</v>
      </c>
      <c r="K9" s="3">
        <v>1</v>
      </c>
      <c r="L9" s="168"/>
      <c r="M9" s="49">
        <f>SUM(C9:L9)</f>
        <v>88</v>
      </c>
    </row>
    <row r="10" spans="1:18" ht="13.5" thickTop="1" x14ac:dyDescent="0.2">
      <c r="A10" s="41"/>
      <c r="B10" s="55" t="s">
        <v>14</v>
      </c>
      <c r="C10" s="38">
        <f>SUM(C7:C9)</f>
        <v>176</v>
      </c>
      <c r="D10" s="38">
        <f>SUM(D7:D9)</f>
        <v>9</v>
      </c>
      <c r="E10" s="38">
        <f t="shared" ref="E10:L10" si="0">SUM(E7:E9)</f>
        <v>134</v>
      </c>
      <c r="F10" s="38">
        <f t="shared" si="0"/>
        <v>657</v>
      </c>
      <c r="G10" s="38">
        <f t="shared" si="0"/>
        <v>113</v>
      </c>
      <c r="H10" s="38">
        <f t="shared" si="0"/>
        <v>4</v>
      </c>
      <c r="I10" s="38">
        <f t="shared" si="0"/>
        <v>4</v>
      </c>
      <c r="J10" s="38">
        <f t="shared" si="0"/>
        <v>641</v>
      </c>
      <c r="K10" s="38">
        <f t="shared" si="0"/>
        <v>32</v>
      </c>
      <c r="L10" s="38">
        <f t="shared" si="0"/>
        <v>30</v>
      </c>
      <c r="M10" s="39">
        <f>SUM(C10:L10)</f>
        <v>1800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3365</v>
      </c>
      <c r="D12" s="123">
        <v>82</v>
      </c>
      <c r="E12" s="122">
        <v>14629</v>
      </c>
      <c r="F12" s="123">
        <v>12099</v>
      </c>
      <c r="G12" s="123">
        <v>9457</v>
      </c>
      <c r="H12" s="123">
        <v>104</v>
      </c>
      <c r="I12" s="123">
        <v>60</v>
      </c>
      <c r="J12" s="123">
        <v>9457</v>
      </c>
      <c r="K12" s="123">
        <v>1900</v>
      </c>
      <c r="L12" s="123"/>
      <c r="M12" s="124">
        <f>SUM(C12:K12)</f>
        <v>51153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66</v>
      </c>
      <c r="D19" s="29">
        <v>1</v>
      </c>
      <c r="E19" s="29">
        <v>104</v>
      </c>
      <c r="F19" s="4">
        <v>172</v>
      </c>
      <c r="G19" s="4">
        <v>77</v>
      </c>
      <c r="H19" s="4">
        <v>1</v>
      </c>
      <c r="I19" s="4">
        <v>5</v>
      </c>
      <c r="J19" s="4">
        <v>59</v>
      </c>
      <c r="K19" s="4">
        <v>39</v>
      </c>
      <c r="L19" s="36">
        <f>SUM(C19:K19)</f>
        <v>524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51">
        <f>SUM(C20:K20)</f>
        <v>7</v>
      </c>
    </row>
    <row r="21" spans="1:13" x14ac:dyDescent="0.2">
      <c r="A21" s="31"/>
      <c r="B21" s="29" t="s">
        <v>11</v>
      </c>
      <c r="C21" s="4">
        <v>0</v>
      </c>
      <c r="D21" s="4">
        <v>0</v>
      </c>
      <c r="E21" s="4">
        <v>17</v>
      </c>
      <c r="F21" s="4">
        <v>16</v>
      </c>
      <c r="G21" s="4">
        <v>19</v>
      </c>
      <c r="H21" s="4">
        <v>1</v>
      </c>
      <c r="I21" s="4">
        <v>0</v>
      </c>
      <c r="J21" s="4">
        <v>29</v>
      </c>
      <c r="K21" s="4">
        <v>0</v>
      </c>
      <c r="L21" s="51">
        <f>SUM(C21:K21)</f>
        <v>82</v>
      </c>
    </row>
    <row r="22" spans="1:13" x14ac:dyDescent="0.2">
      <c r="A22" s="31"/>
      <c r="B22" s="29" t="s">
        <v>10</v>
      </c>
      <c r="C22" s="4">
        <v>4</v>
      </c>
      <c r="D22" s="4">
        <v>2</v>
      </c>
      <c r="E22" s="4">
        <v>11</v>
      </c>
      <c r="F22" s="4">
        <v>57</v>
      </c>
      <c r="G22" s="4">
        <v>19</v>
      </c>
      <c r="H22" s="4">
        <v>2</v>
      </c>
      <c r="I22" s="4">
        <v>2</v>
      </c>
      <c r="J22" s="4">
        <v>25</v>
      </c>
      <c r="K22" s="4">
        <v>4</v>
      </c>
      <c r="L22" s="51">
        <f>SUM(C22:K22)</f>
        <v>126</v>
      </c>
    </row>
    <row r="23" spans="1:13" ht="13.5" thickBot="1" x14ac:dyDescent="0.25">
      <c r="A23" s="31"/>
      <c r="B23" s="29" t="s">
        <v>9</v>
      </c>
      <c r="C23" s="3">
        <v>88</v>
      </c>
      <c r="D23" s="3">
        <v>30</v>
      </c>
      <c r="E23" s="3">
        <v>235</v>
      </c>
      <c r="F23" s="3">
        <v>283</v>
      </c>
      <c r="G23" s="3">
        <v>138</v>
      </c>
      <c r="H23" s="3">
        <v>10</v>
      </c>
      <c r="I23" s="3">
        <v>11</v>
      </c>
      <c r="J23" s="3">
        <v>436</v>
      </c>
      <c r="K23" s="3">
        <v>113</v>
      </c>
      <c r="L23" s="49">
        <f>SUM(C23:K23)</f>
        <v>1344</v>
      </c>
    </row>
    <row r="24" spans="1:13" ht="13.5" thickTop="1" x14ac:dyDescent="0.2">
      <c r="A24" s="31"/>
      <c r="B24" s="50" t="s">
        <v>14</v>
      </c>
      <c r="C24" s="29">
        <f>SUM(C19:C23)</f>
        <v>159</v>
      </c>
      <c r="D24" s="29">
        <f t="shared" ref="D24:L24" si="1">SUM(D19:D23)</f>
        <v>33</v>
      </c>
      <c r="E24" s="29">
        <f t="shared" si="1"/>
        <v>368</v>
      </c>
      <c r="F24" s="29">
        <f t="shared" si="1"/>
        <v>528</v>
      </c>
      <c r="G24" s="29">
        <f t="shared" si="1"/>
        <v>254</v>
      </c>
      <c r="H24" s="29">
        <f t="shared" si="1"/>
        <v>14</v>
      </c>
      <c r="I24" s="29">
        <f t="shared" si="1"/>
        <v>18</v>
      </c>
      <c r="J24" s="29">
        <f t="shared" si="1"/>
        <v>549</v>
      </c>
      <c r="K24" s="29">
        <f t="shared" si="1"/>
        <v>160</v>
      </c>
      <c r="L24" s="36">
        <f t="shared" si="1"/>
        <v>2083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132</v>
      </c>
      <c r="M26" s="156" t="s">
        <v>14</v>
      </c>
    </row>
    <row r="27" spans="1:13" x14ac:dyDescent="0.2">
      <c r="A27" s="132" t="s">
        <v>34</v>
      </c>
      <c r="B27" s="139"/>
      <c r="C27" s="73">
        <v>42</v>
      </c>
      <c r="D27" s="73">
        <v>0</v>
      </c>
      <c r="E27" s="73">
        <v>3.25</v>
      </c>
      <c r="F27" s="73">
        <v>20</v>
      </c>
      <c r="G27" s="73">
        <v>0</v>
      </c>
      <c r="H27" s="73">
        <v>0</v>
      </c>
      <c r="I27" s="73">
        <v>0</v>
      </c>
      <c r="J27" s="73">
        <v>84.25</v>
      </c>
      <c r="K27" s="73">
        <v>0</v>
      </c>
      <c r="L27" s="73"/>
      <c r="M27" s="118">
        <f>SUM(C27:L27)</f>
        <v>149.5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36</v>
      </c>
      <c r="D31" s="29">
        <v>12</v>
      </c>
      <c r="E31" s="29">
        <v>33</v>
      </c>
      <c r="F31" s="4">
        <v>201</v>
      </c>
      <c r="G31" s="4">
        <v>128</v>
      </c>
      <c r="H31" s="4">
        <v>250</v>
      </c>
      <c r="I31" s="4">
        <v>4</v>
      </c>
      <c r="J31" s="4">
        <v>204</v>
      </c>
      <c r="K31" s="4">
        <v>6</v>
      </c>
      <c r="L31" s="51">
        <f t="shared" ref="L31:L36" si="2">SUM(C31:K31)</f>
        <v>874</v>
      </c>
    </row>
    <row r="32" spans="1:13" x14ac:dyDescent="0.2">
      <c r="B32" s="60" t="s">
        <v>18</v>
      </c>
      <c r="C32" s="29">
        <v>13</v>
      </c>
      <c r="D32" s="29">
        <v>7</v>
      </c>
      <c r="E32" s="29">
        <v>62</v>
      </c>
      <c r="F32" s="4">
        <v>49</v>
      </c>
      <c r="G32" s="4">
        <v>24</v>
      </c>
      <c r="H32" s="4">
        <v>2</v>
      </c>
      <c r="I32" s="4">
        <v>0</v>
      </c>
      <c r="J32" s="4">
        <v>59</v>
      </c>
      <c r="K32" s="4">
        <v>4</v>
      </c>
      <c r="L32" s="51">
        <f t="shared" si="2"/>
        <v>220</v>
      </c>
    </row>
    <row r="33" spans="1:12" x14ac:dyDescent="0.2">
      <c r="B33" s="60" t="s">
        <v>20</v>
      </c>
      <c r="C33" s="29">
        <v>177</v>
      </c>
      <c r="D33" s="29">
        <v>352</v>
      </c>
      <c r="E33" s="29">
        <v>833</v>
      </c>
      <c r="F33" s="29">
        <v>330</v>
      </c>
      <c r="G33" s="4">
        <v>346</v>
      </c>
      <c r="H33" s="4">
        <v>7</v>
      </c>
      <c r="I33" s="4">
        <v>3</v>
      </c>
      <c r="J33" s="4">
        <v>516</v>
      </c>
      <c r="K33" s="29">
        <v>10</v>
      </c>
      <c r="L33" s="51">
        <f t="shared" si="2"/>
        <v>2574</v>
      </c>
    </row>
    <row r="34" spans="1:12" x14ac:dyDescent="0.2">
      <c r="B34" s="60" t="s">
        <v>108</v>
      </c>
      <c r="C34" s="4">
        <v>98</v>
      </c>
      <c r="D34" s="4">
        <v>80</v>
      </c>
      <c r="E34" s="4">
        <v>78</v>
      </c>
      <c r="F34" s="4">
        <v>65</v>
      </c>
      <c r="G34" s="4">
        <v>74</v>
      </c>
      <c r="H34" s="4">
        <v>84</v>
      </c>
      <c r="I34" s="4">
        <v>0</v>
      </c>
      <c r="J34">
        <v>92</v>
      </c>
      <c r="K34" s="4">
        <v>8</v>
      </c>
      <c r="L34" s="51">
        <f t="shared" si="2"/>
        <v>579</v>
      </c>
    </row>
    <row r="35" spans="1:12" ht="13.5" thickBot="1" x14ac:dyDescent="0.25">
      <c r="B35" s="119" t="s">
        <v>19</v>
      </c>
      <c r="C35" s="3">
        <f t="shared" ref="C35:I35" si="3">C76</f>
        <v>14</v>
      </c>
      <c r="D35" s="3">
        <f t="shared" si="3"/>
        <v>32</v>
      </c>
      <c r="E35" s="3">
        <f t="shared" si="3"/>
        <v>72</v>
      </c>
      <c r="F35" s="3">
        <f t="shared" si="3"/>
        <v>100</v>
      </c>
      <c r="G35" s="3">
        <f t="shared" si="3"/>
        <v>47</v>
      </c>
      <c r="H35" s="3">
        <f t="shared" si="3"/>
        <v>19</v>
      </c>
      <c r="I35" s="3">
        <f t="shared" si="3"/>
        <v>4</v>
      </c>
      <c r="J35" s="3">
        <f>J76</f>
        <v>142</v>
      </c>
      <c r="K35" s="3">
        <f>K76</f>
        <v>26</v>
      </c>
      <c r="L35" s="117">
        <f t="shared" si="2"/>
        <v>456</v>
      </c>
    </row>
    <row r="36" spans="1:12" ht="13.5" thickTop="1" x14ac:dyDescent="0.2">
      <c r="B36" s="58" t="s">
        <v>14</v>
      </c>
      <c r="C36" s="38">
        <f t="shared" ref="C36:K36" si="4">SUM(C31:C35)</f>
        <v>338</v>
      </c>
      <c r="D36" s="38">
        <f t="shared" si="4"/>
        <v>483</v>
      </c>
      <c r="E36" s="38">
        <f t="shared" si="4"/>
        <v>1078</v>
      </c>
      <c r="F36" s="38">
        <f t="shared" si="4"/>
        <v>745</v>
      </c>
      <c r="G36" s="38">
        <f>SUM(G31:G35)</f>
        <v>619</v>
      </c>
      <c r="H36" s="38">
        <f t="shared" si="4"/>
        <v>362</v>
      </c>
      <c r="I36" s="38">
        <f t="shared" si="4"/>
        <v>11</v>
      </c>
      <c r="J36" s="38">
        <f t="shared" si="4"/>
        <v>1013</v>
      </c>
      <c r="K36" s="38">
        <f t="shared" si="4"/>
        <v>54</v>
      </c>
      <c r="L36" s="80">
        <f t="shared" si="2"/>
        <v>4703</v>
      </c>
    </row>
    <row r="38" spans="1:12" x14ac:dyDescent="0.2">
      <c r="A38" s="137" t="s">
        <v>56</v>
      </c>
      <c r="B38" s="138"/>
      <c r="C38" s="33">
        <v>14</v>
      </c>
      <c r="D38" s="33">
        <v>0</v>
      </c>
      <c r="E38" s="33">
        <v>16</v>
      </c>
      <c r="F38" s="56">
        <v>7</v>
      </c>
      <c r="G38" s="56">
        <v>3</v>
      </c>
      <c r="H38" s="56">
        <v>0</v>
      </c>
      <c r="I38" s="56">
        <v>0</v>
      </c>
      <c r="J38" s="56">
        <v>18</v>
      </c>
      <c r="K38" s="56">
        <v>1</v>
      </c>
      <c r="L38" s="120">
        <f>SUM(C38:K38)</f>
        <v>59</v>
      </c>
    </row>
    <row r="39" spans="1:12" x14ac:dyDescent="0.2">
      <c r="A39" s="60" t="s">
        <v>148</v>
      </c>
      <c r="B39" s="50"/>
      <c r="C39" s="29">
        <v>0</v>
      </c>
      <c r="D39" s="29">
        <v>0</v>
      </c>
      <c r="E39" s="29">
        <v>0</v>
      </c>
      <c r="F39" s="106">
        <v>42</v>
      </c>
      <c r="G39" s="106">
        <v>3</v>
      </c>
      <c r="H39" s="106">
        <v>10</v>
      </c>
      <c r="I39" s="106">
        <v>0</v>
      </c>
      <c r="J39" s="106">
        <v>414</v>
      </c>
      <c r="K39" s="106">
        <v>0</v>
      </c>
      <c r="L39" s="121">
        <f>SUM(C39:K39)</f>
        <v>469</v>
      </c>
    </row>
    <row r="40" spans="1:12" x14ac:dyDescent="0.2">
      <c r="A40" s="60"/>
      <c r="B40" s="50" t="s">
        <v>7</v>
      </c>
      <c r="C40" s="29">
        <f>SUM(C38:C39)</f>
        <v>14</v>
      </c>
      <c r="D40" s="29">
        <f t="shared" ref="D40:K40" si="5">SUM(D38:D39)</f>
        <v>0</v>
      </c>
      <c r="E40" s="29">
        <f t="shared" si="5"/>
        <v>16</v>
      </c>
      <c r="F40" s="29">
        <f t="shared" si="5"/>
        <v>49</v>
      </c>
      <c r="G40" s="29">
        <f t="shared" si="5"/>
        <v>6</v>
      </c>
      <c r="H40" s="179">
        <f>SUM(H38:H39)</f>
        <v>10</v>
      </c>
      <c r="I40" s="29">
        <f t="shared" si="5"/>
        <v>0</v>
      </c>
      <c r="J40" s="29">
        <f t="shared" si="5"/>
        <v>432</v>
      </c>
      <c r="K40" s="29">
        <f t="shared" si="5"/>
        <v>1</v>
      </c>
      <c r="L40" s="121">
        <f>SUM(L38:L39)</f>
        <v>528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0</v>
      </c>
      <c r="F42" s="123">
        <v>3</v>
      </c>
      <c r="G42" s="123">
        <v>18</v>
      </c>
      <c r="H42" s="123">
        <v>0</v>
      </c>
      <c r="I42" s="123">
        <v>0</v>
      </c>
      <c r="J42" s="123">
        <v>32</v>
      </c>
      <c r="K42" s="123">
        <v>0</v>
      </c>
      <c r="L42" s="124">
        <f>SUM(C42:K42)</f>
        <v>53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1</v>
      </c>
      <c r="F44" s="33">
        <v>1</v>
      </c>
      <c r="G44" s="33">
        <v>0</v>
      </c>
      <c r="H44" s="33">
        <v>0</v>
      </c>
      <c r="I44" s="33">
        <v>0</v>
      </c>
      <c r="J44" s="33">
        <v>4</v>
      </c>
      <c r="K44" s="33">
        <v>0</v>
      </c>
      <c r="L44" s="34">
        <f>SUM(C44:K44)</f>
        <v>6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15</v>
      </c>
      <c r="F45" s="38">
        <v>30</v>
      </c>
      <c r="G45" s="38">
        <v>0</v>
      </c>
      <c r="H45" s="38">
        <v>0</v>
      </c>
      <c r="I45" s="38">
        <v>0</v>
      </c>
      <c r="J45" s="38">
        <v>65</v>
      </c>
      <c r="K45" s="38">
        <v>0</v>
      </c>
      <c r="L45" s="39">
        <f>SUM(C45:K45)</f>
        <v>110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>
        <v>2</v>
      </c>
      <c r="D49" s="122"/>
      <c r="E49" s="122">
        <v>3</v>
      </c>
      <c r="F49" s="129">
        <v>0</v>
      </c>
      <c r="G49" s="129">
        <v>3</v>
      </c>
      <c r="H49" s="129">
        <v>2</v>
      </c>
      <c r="I49" s="129">
        <v>1</v>
      </c>
      <c r="J49" s="129">
        <v>32</v>
      </c>
      <c r="K49" s="129">
        <v>1</v>
      </c>
      <c r="L49" s="130">
        <f t="shared" ref="L49:L75" si="6">SUM(C49:K49)</f>
        <v>44</v>
      </c>
    </row>
    <row r="50" spans="2:12" x14ac:dyDescent="0.2">
      <c r="B50" s="100" t="s">
        <v>113</v>
      </c>
      <c r="C50" s="122"/>
      <c r="D50" s="122"/>
      <c r="E50" s="129"/>
      <c r="F50" s="122"/>
      <c r="G50" s="122"/>
      <c r="H50" s="122"/>
      <c r="I50" s="122"/>
      <c r="J50" s="122"/>
      <c r="K50" s="122"/>
      <c r="L50" s="130">
        <f t="shared" si="6"/>
        <v>0</v>
      </c>
    </row>
    <row r="51" spans="2:12" x14ac:dyDescent="0.2">
      <c r="B51" s="100" t="s">
        <v>103</v>
      </c>
      <c r="C51" s="122"/>
      <c r="D51" s="122"/>
      <c r="E51" s="122">
        <v>1</v>
      </c>
      <c r="F51" s="122"/>
      <c r="G51" s="129">
        <v>1</v>
      </c>
      <c r="H51" s="129"/>
      <c r="I51" s="122"/>
      <c r="J51" s="122">
        <v>1</v>
      </c>
      <c r="K51" s="129"/>
      <c r="L51" s="130">
        <f t="shared" si="6"/>
        <v>3</v>
      </c>
    </row>
    <row r="52" spans="2:12" x14ac:dyDescent="0.2">
      <c r="B52" s="100" t="s">
        <v>137</v>
      </c>
      <c r="C52" s="122"/>
      <c r="D52" s="122">
        <v>4</v>
      </c>
      <c r="E52" s="122"/>
      <c r="F52" s="122">
        <v>2</v>
      </c>
      <c r="G52" s="129">
        <v>2</v>
      </c>
      <c r="H52" s="122"/>
      <c r="I52" s="122"/>
      <c r="J52" s="122"/>
      <c r="K52" s="129"/>
      <c r="L52" s="130">
        <f t="shared" si="6"/>
        <v>8</v>
      </c>
    </row>
    <row r="53" spans="2:12" x14ac:dyDescent="0.2">
      <c r="B53" s="100" t="s">
        <v>149</v>
      </c>
      <c r="C53" s="129">
        <v>3</v>
      </c>
      <c r="D53" s="122"/>
      <c r="E53" s="122"/>
      <c r="F53" s="122"/>
      <c r="G53" s="129"/>
      <c r="H53" s="122"/>
      <c r="I53" s="122"/>
      <c r="J53" s="122">
        <v>3</v>
      </c>
      <c r="K53" s="129">
        <v>2</v>
      </c>
      <c r="L53" s="130">
        <f t="shared" si="6"/>
        <v>8</v>
      </c>
    </row>
    <row r="54" spans="2:12" x14ac:dyDescent="0.2">
      <c r="B54" s="100" t="s">
        <v>104</v>
      </c>
      <c r="C54" s="129"/>
      <c r="D54" s="122"/>
      <c r="E54" s="129">
        <v>1</v>
      </c>
      <c r="F54" s="129"/>
      <c r="G54" s="129"/>
      <c r="H54" s="122"/>
      <c r="I54" s="122"/>
      <c r="J54" s="122"/>
      <c r="K54" s="122"/>
      <c r="L54" s="130">
        <f t="shared" si="6"/>
        <v>1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>
        <v>1</v>
      </c>
      <c r="D56" s="122">
        <v>2</v>
      </c>
      <c r="E56" s="129">
        <v>6</v>
      </c>
      <c r="F56" s="129">
        <v>2</v>
      </c>
      <c r="G56" s="129">
        <v>3</v>
      </c>
      <c r="H56" s="129">
        <v>0</v>
      </c>
      <c r="I56" s="129">
        <v>0</v>
      </c>
      <c r="J56" s="129">
        <v>3</v>
      </c>
      <c r="K56" s="129">
        <v>2</v>
      </c>
      <c r="L56" s="130">
        <f t="shared" si="6"/>
        <v>19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6"/>
        <v>0</v>
      </c>
    </row>
    <row r="58" spans="2:12" x14ac:dyDescent="0.2">
      <c r="B58" s="100" t="s">
        <v>102</v>
      </c>
      <c r="C58" s="122"/>
      <c r="D58" s="122"/>
      <c r="E58" s="129"/>
      <c r="F58" s="129"/>
      <c r="G58" s="129"/>
      <c r="H58" s="129"/>
      <c r="I58" s="122"/>
      <c r="J58" s="122"/>
      <c r="K58" s="129"/>
      <c r="L58" s="130">
        <f t="shared" si="6"/>
        <v>0</v>
      </c>
    </row>
    <row r="59" spans="2:12" x14ac:dyDescent="0.2">
      <c r="B59" s="100" t="s">
        <v>105</v>
      </c>
      <c r="C59" s="122">
        <v>1</v>
      </c>
      <c r="D59" s="122">
        <v>0</v>
      </c>
      <c r="E59" s="129">
        <v>2</v>
      </c>
      <c r="F59" s="129">
        <v>9</v>
      </c>
      <c r="G59" s="129">
        <v>0</v>
      </c>
      <c r="H59" s="129">
        <v>0</v>
      </c>
      <c r="I59" s="122">
        <v>0</v>
      </c>
      <c r="J59" s="122">
        <v>8</v>
      </c>
      <c r="K59" s="129">
        <v>1</v>
      </c>
      <c r="L59" s="130">
        <f t="shared" si="6"/>
        <v>21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6"/>
        <v>0</v>
      </c>
    </row>
    <row r="61" spans="2:12" x14ac:dyDescent="0.2">
      <c r="B61" s="111" t="s">
        <v>41</v>
      </c>
      <c r="C61" s="122">
        <v>1</v>
      </c>
      <c r="D61" s="122">
        <v>14</v>
      </c>
      <c r="E61" s="129">
        <v>21</v>
      </c>
      <c r="F61" s="129">
        <v>12</v>
      </c>
      <c r="G61" s="129">
        <v>13</v>
      </c>
      <c r="H61" s="129">
        <v>9</v>
      </c>
      <c r="I61" s="129">
        <v>0</v>
      </c>
      <c r="J61" s="129">
        <v>21</v>
      </c>
      <c r="K61" s="129">
        <v>1</v>
      </c>
      <c r="L61" s="130">
        <f t="shared" si="6"/>
        <v>92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6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>
        <v>1</v>
      </c>
      <c r="H64" s="129"/>
      <c r="I64" s="129"/>
      <c r="J64" s="129">
        <v>2</v>
      </c>
      <c r="K64" s="129">
        <v>1</v>
      </c>
      <c r="L64" s="130">
        <f t="shared" si="6"/>
        <v>4</v>
      </c>
    </row>
    <row r="65" spans="1:13" x14ac:dyDescent="0.2">
      <c r="B65" s="100" t="s">
        <v>153</v>
      </c>
      <c r="C65" s="122"/>
      <c r="D65" s="122"/>
      <c r="E65" s="122"/>
      <c r="F65" s="122">
        <v>2</v>
      </c>
      <c r="G65" s="129"/>
      <c r="H65" s="129">
        <v>3</v>
      </c>
      <c r="I65" s="129"/>
      <c r="J65" s="129"/>
      <c r="K65" s="129"/>
      <c r="L65" s="130">
        <f t="shared" si="6"/>
        <v>5</v>
      </c>
    </row>
    <row r="66" spans="1:13" x14ac:dyDescent="0.2">
      <c r="B66" s="111" t="s">
        <v>80</v>
      </c>
      <c r="C66" s="129">
        <v>5</v>
      </c>
      <c r="D66" s="129">
        <v>8</v>
      </c>
      <c r="E66" s="129">
        <v>18</v>
      </c>
      <c r="F66" s="129">
        <v>52</v>
      </c>
      <c r="G66" s="129">
        <v>13</v>
      </c>
      <c r="H66" s="129">
        <v>2</v>
      </c>
      <c r="I66" s="129">
        <v>2</v>
      </c>
      <c r="J66" s="129">
        <v>50</v>
      </c>
      <c r="K66" s="129">
        <v>14</v>
      </c>
      <c r="L66" s="130">
        <f t="shared" si="6"/>
        <v>164</v>
      </c>
    </row>
    <row r="67" spans="1:13" x14ac:dyDescent="0.2">
      <c r="B67" s="100" t="s">
        <v>151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30">
        <f t="shared" si="6"/>
        <v>0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/>
      <c r="D69" s="122">
        <v>4</v>
      </c>
      <c r="E69" s="129">
        <v>13</v>
      </c>
      <c r="F69" s="129">
        <v>4</v>
      </c>
      <c r="G69" s="129">
        <v>0</v>
      </c>
      <c r="H69" s="129">
        <v>1</v>
      </c>
      <c r="I69" s="129">
        <v>0</v>
      </c>
      <c r="J69" s="129">
        <v>6</v>
      </c>
      <c r="K69" s="129"/>
      <c r="L69" s="130">
        <f t="shared" si="6"/>
        <v>28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6"/>
        <v>0</v>
      </c>
    </row>
    <row r="71" spans="1:13" x14ac:dyDescent="0.2">
      <c r="B71" s="100" t="s">
        <v>43</v>
      </c>
      <c r="C71" s="129"/>
      <c r="D71" s="122"/>
      <c r="E71" s="129">
        <v>7</v>
      </c>
      <c r="F71" s="129">
        <v>12</v>
      </c>
      <c r="G71" s="129">
        <v>5</v>
      </c>
      <c r="H71" s="129"/>
      <c r="I71" s="129"/>
      <c r="J71" s="129">
        <v>10</v>
      </c>
      <c r="K71" s="129">
        <v>2</v>
      </c>
      <c r="L71" s="130">
        <f t="shared" si="6"/>
        <v>36</v>
      </c>
    </row>
    <row r="72" spans="1:13" x14ac:dyDescent="0.2">
      <c r="B72" s="100" t="s">
        <v>42</v>
      </c>
      <c r="C72" s="122">
        <v>1</v>
      </c>
      <c r="D72" s="122">
        <v>0</v>
      </c>
      <c r="E72" s="122">
        <v>0</v>
      </c>
      <c r="F72" s="129">
        <v>2</v>
      </c>
      <c r="G72" s="122">
        <v>1</v>
      </c>
      <c r="H72" s="129">
        <v>2</v>
      </c>
      <c r="I72" s="129">
        <v>1</v>
      </c>
      <c r="J72" s="129">
        <v>6</v>
      </c>
      <c r="K72" s="129">
        <v>2</v>
      </c>
      <c r="L72" s="130">
        <f t="shared" si="6"/>
        <v>15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>
        <v>2</v>
      </c>
      <c r="H74" s="129"/>
      <c r="I74" s="122"/>
      <c r="J74" s="122"/>
      <c r="K74" s="129"/>
      <c r="L74" s="130">
        <f t="shared" si="6"/>
        <v>2</v>
      </c>
    </row>
    <row r="75" spans="1:13" ht="13.5" thickBot="1" x14ac:dyDescent="0.25">
      <c r="B75" s="66" t="s">
        <v>66</v>
      </c>
      <c r="C75" s="3"/>
      <c r="D75" s="3"/>
      <c r="E75" s="3">
        <v>0</v>
      </c>
      <c r="F75" s="3">
        <v>3</v>
      </c>
      <c r="G75" s="3">
        <v>3</v>
      </c>
      <c r="H75" s="3"/>
      <c r="I75" s="3"/>
      <c r="J75" s="3"/>
      <c r="K75" s="3"/>
      <c r="L75" s="176">
        <f t="shared" si="6"/>
        <v>6</v>
      </c>
    </row>
    <row r="76" spans="1:13" ht="13.5" thickTop="1" x14ac:dyDescent="0.2">
      <c r="B76" s="58" t="s">
        <v>7</v>
      </c>
      <c r="C76" s="38">
        <f t="shared" ref="C76:L76" si="7">SUM(C49:C75)</f>
        <v>14</v>
      </c>
      <c r="D76" s="38">
        <f t="shared" si="7"/>
        <v>32</v>
      </c>
      <c r="E76" s="38">
        <f t="shared" si="7"/>
        <v>72</v>
      </c>
      <c r="F76" s="38">
        <f t="shared" si="7"/>
        <v>100</v>
      </c>
      <c r="G76" s="38">
        <f t="shared" si="7"/>
        <v>47</v>
      </c>
      <c r="H76" s="38">
        <f t="shared" si="7"/>
        <v>19</v>
      </c>
      <c r="I76" s="38">
        <f t="shared" si="7"/>
        <v>4</v>
      </c>
      <c r="J76" s="38">
        <f t="shared" si="7"/>
        <v>142</v>
      </c>
      <c r="K76" s="38">
        <f t="shared" si="7"/>
        <v>26</v>
      </c>
      <c r="L76" s="38">
        <f t="shared" si="7"/>
        <v>456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47336</v>
      </c>
      <c r="C82" s="29">
        <f>86+42+23</f>
        <v>151</v>
      </c>
      <c r="D82" s="29">
        <v>1458</v>
      </c>
      <c r="E82" s="4">
        <f>4+43+14+8+79+25+30+67+30+1</f>
        <v>301</v>
      </c>
      <c r="F82" s="4">
        <f>55+3+18+4+1+1+5+4+5+2+1+33+16+11+4+65+3+4+2+9+3+10+2+6+19+14+4+8+1+15+2+22+7+1+7+3+12+10+9+3+24+5+3+1+2+3</f>
        <v>442</v>
      </c>
      <c r="G82" s="29">
        <v>952</v>
      </c>
      <c r="H82" s="4">
        <f>20+174+2553</f>
        <v>2747</v>
      </c>
      <c r="I82" s="4">
        <v>94</v>
      </c>
      <c r="J82" s="29">
        <v>17</v>
      </c>
      <c r="K82" s="4">
        <v>117</v>
      </c>
      <c r="L82" s="29">
        <f>4356+162</f>
        <v>4518</v>
      </c>
      <c r="M82" s="36">
        <f>SUM(B82:L82)</f>
        <v>58133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243</v>
      </c>
      <c r="L84" s="29"/>
    </row>
    <row r="85" spans="1:13" x14ac:dyDescent="0.2">
      <c r="A85" s="29"/>
      <c r="B85" s="29"/>
      <c r="C85" s="29"/>
      <c r="D85" s="29"/>
      <c r="E85" s="29"/>
      <c r="F85" s="29"/>
      <c r="G85" s="47"/>
      <c r="H85" s="29"/>
      <c r="J85" s="29"/>
      <c r="K85" s="29" t="s">
        <v>214</v>
      </c>
      <c r="L85" s="29"/>
    </row>
    <row r="86" spans="1:13" x14ac:dyDescent="0.2">
      <c r="A86" s="137" t="s">
        <v>86</v>
      </c>
      <c r="B86" s="138"/>
      <c r="C86" s="64">
        <v>323</v>
      </c>
      <c r="F86" s="137" t="s">
        <v>48</v>
      </c>
      <c r="G86" s="138"/>
      <c r="H86" s="64">
        <v>192</v>
      </c>
      <c r="J86" s="137" t="s">
        <v>73</v>
      </c>
      <c r="K86" s="142"/>
      <c r="L86" s="142"/>
      <c r="M86" s="34">
        <v>0</v>
      </c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186</v>
      </c>
      <c r="J87" s="140" t="s">
        <v>74</v>
      </c>
      <c r="K87" s="152"/>
      <c r="L87" s="152"/>
      <c r="M87" s="39">
        <v>4</v>
      </c>
    </row>
    <row r="88" spans="1:13" x14ac:dyDescent="0.2">
      <c r="A88" s="140" t="s">
        <v>87</v>
      </c>
      <c r="B88" s="152"/>
      <c r="C88" s="39">
        <v>167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v>8</v>
      </c>
      <c r="D91" s="6"/>
      <c r="E91" s="31" t="s">
        <v>9</v>
      </c>
      <c r="F91" s="29"/>
      <c r="G91" s="36">
        <v>694</v>
      </c>
      <c r="I91" s="35" t="s">
        <v>127</v>
      </c>
      <c r="J91" s="29"/>
      <c r="K91" s="29"/>
      <c r="L91" s="36">
        <v>829</v>
      </c>
      <c r="M91" s="6"/>
    </row>
    <row r="92" spans="1:13" x14ac:dyDescent="0.2">
      <c r="A92" s="35" t="s">
        <v>28</v>
      </c>
      <c r="B92" s="29"/>
      <c r="C92" s="36">
        <v>0</v>
      </c>
      <c r="D92" s="6"/>
      <c r="E92" s="31" t="s">
        <v>10</v>
      </c>
      <c r="F92" s="29"/>
      <c r="G92" s="36">
        <v>241</v>
      </c>
      <c r="I92" s="35" t="s">
        <v>128</v>
      </c>
      <c r="J92" s="29"/>
      <c r="K92" s="29"/>
      <c r="L92" s="36">
        <v>126</v>
      </c>
      <c r="M92" s="6"/>
    </row>
    <row r="93" spans="1:13" x14ac:dyDescent="0.2">
      <c r="A93" s="35" t="s">
        <v>118</v>
      </c>
      <c r="B93" s="29"/>
      <c r="C93" s="36">
        <v>27</v>
      </c>
      <c r="D93" s="6"/>
      <c r="E93" s="31" t="s">
        <v>11</v>
      </c>
      <c r="F93" s="29"/>
      <c r="G93" s="36">
        <v>23</v>
      </c>
      <c r="I93" s="35" t="s">
        <v>45</v>
      </c>
      <c r="J93" s="29"/>
      <c r="K93" s="29"/>
      <c r="L93" s="36">
        <v>5</v>
      </c>
      <c r="M93" s="6"/>
    </row>
    <row r="94" spans="1:13" x14ac:dyDescent="0.2">
      <c r="A94" s="35" t="s">
        <v>119</v>
      </c>
      <c r="B94" s="47"/>
      <c r="C94" s="36">
        <v>1098</v>
      </c>
      <c r="D94" s="6"/>
      <c r="E94" s="31" t="s">
        <v>37</v>
      </c>
      <c r="F94" s="29"/>
      <c r="G94" s="36">
        <v>278</v>
      </c>
      <c r="I94" s="35" t="s">
        <v>46</v>
      </c>
      <c r="J94" s="29"/>
      <c r="K94" s="29"/>
      <c r="L94" s="36">
        <v>16</v>
      </c>
      <c r="M94" s="6"/>
    </row>
    <row r="95" spans="1:13" x14ac:dyDescent="0.2">
      <c r="A95" s="35" t="s">
        <v>101</v>
      </c>
      <c r="B95" s="47"/>
      <c r="C95" s="36">
        <v>61</v>
      </c>
      <c r="D95" s="6"/>
      <c r="E95" s="41" t="s">
        <v>38</v>
      </c>
      <c r="F95" s="38"/>
      <c r="G95" s="39">
        <v>0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v>12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v>52</v>
      </c>
    </row>
    <row r="98" spans="1:13" x14ac:dyDescent="0.2">
      <c r="A98" s="35" t="s">
        <v>120</v>
      </c>
      <c r="B98" s="29"/>
      <c r="C98" s="36">
        <v>1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95</v>
      </c>
    </row>
    <row r="100" spans="1:13" x14ac:dyDescent="0.2">
      <c r="A100" s="89" t="s">
        <v>122</v>
      </c>
      <c r="B100" s="47"/>
      <c r="C100" s="36">
        <v>0</v>
      </c>
      <c r="E100" s="35" t="s">
        <v>32</v>
      </c>
      <c r="F100" s="47"/>
      <c r="G100" s="47"/>
      <c r="H100" s="42">
        <v>92</v>
      </c>
    </row>
    <row r="101" spans="1:13" x14ac:dyDescent="0.2">
      <c r="A101" s="89" t="s">
        <v>18</v>
      </c>
      <c r="B101" s="29"/>
      <c r="C101" s="51">
        <v>4</v>
      </c>
      <c r="E101" s="37" t="s">
        <v>47</v>
      </c>
      <c r="F101" s="55"/>
      <c r="G101" s="38"/>
      <c r="H101" s="39">
        <v>0</v>
      </c>
      <c r="I101" s="2"/>
      <c r="J101" s="1"/>
    </row>
    <row r="102" spans="1:13" x14ac:dyDescent="0.2">
      <c r="A102" s="91" t="s">
        <v>20</v>
      </c>
      <c r="B102" s="38"/>
      <c r="C102" s="39">
        <v>845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51"/>
      <c r="E103" s="47"/>
      <c r="F103" s="50"/>
      <c r="G103" s="29"/>
      <c r="H103" s="29"/>
      <c r="I103" s="2"/>
      <c r="J103" s="1"/>
    </row>
    <row r="104" spans="1:13" x14ac:dyDescent="0.2">
      <c r="A104" s="79"/>
      <c r="B104" s="29"/>
      <c r="C104" s="29"/>
      <c r="I104" s="2"/>
      <c r="J104" s="1"/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3376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2</v>
      </c>
      <c r="E108" s="111">
        <v>186</v>
      </c>
      <c r="F108" s="31"/>
      <c r="H108" s="1"/>
      <c r="I108" s="60" t="s">
        <v>133</v>
      </c>
      <c r="J108" s="50"/>
      <c r="L108">
        <v>3045</v>
      </c>
      <c r="M108" s="36"/>
    </row>
    <row r="109" spans="1:13" x14ac:dyDescent="0.2">
      <c r="A109" s="1"/>
      <c r="B109" s="228" t="s">
        <v>97</v>
      </c>
      <c r="C109" s="229"/>
      <c r="D109" s="15">
        <v>1034</v>
      </c>
      <c r="E109" s="157"/>
      <c r="F109" s="31"/>
      <c r="I109" s="60" t="s">
        <v>212</v>
      </c>
      <c r="K109" s="29"/>
      <c r="L109" s="29">
        <v>221</v>
      </c>
      <c r="M109" s="36"/>
    </row>
    <row r="110" spans="1:13" x14ac:dyDescent="0.2">
      <c r="B110" s="194" t="s">
        <v>348</v>
      </c>
      <c r="C110" s="15"/>
      <c r="D110" s="15">
        <v>443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322</v>
      </c>
      <c r="E111" s="112"/>
      <c r="F111" s="160"/>
      <c r="I111" s="60" t="s">
        <v>145</v>
      </c>
      <c r="J111" s="50"/>
      <c r="K111" s="50"/>
      <c r="L111" s="47">
        <v>21</v>
      </c>
      <c r="M111" s="63"/>
    </row>
    <row r="112" spans="1:13" x14ac:dyDescent="0.2">
      <c r="A112" s="1"/>
      <c r="B112" s="219" t="s">
        <v>244</v>
      </c>
      <c r="C112" s="218"/>
      <c r="D112" s="15"/>
      <c r="E112" s="112">
        <v>168</v>
      </c>
      <c r="F112" s="160"/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417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125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97</v>
      </c>
      <c r="E115" s="115"/>
      <c r="F115" s="161"/>
      <c r="I115" s="87" t="s">
        <v>111</v>
      </c>
      <c r="J115" s="33"/>
      <c r="K115" s="88">
        <v>2251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693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/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43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24</v>
      </c>
      <c r="E120" s="114">
        <v>132</v>
      </c>
      <c r="F120" s="163"/>
      <c r="I120" s="95" t="s">
        <v>22</v>
      </c>
      <c r="J120" s="86"/>
      <c r="K120" s="29">
        <v>5</v>
      </c>
      <c r="L120" s="29">
        <v>0</v>
      </c>
      <c r="M120" s="94">
        <f>SUM(K120:L120)</f>
        <v>5</v>
      </c>
    </row>
    <row r="121" spans="1:13" x14ac:dyDescent="0.2">
      <c r="B121" s="100" t="s">
        <v>144</v>
      </c>
      <c r="D121" s="13">
        <v>61</v>
      </c>
      <c r="E121" s="111"/>
      <c r="F121" s="31"/>
      <c r="I121" s="171" t="s">
        <v>146</v>
      </c>
      <c r="J121" s="86"/>
      <c r="K121" s="29">
        <v>1</v>
      </c>
      <c r="L121" s="29">
        <v>0</v>
      </c>
      <c r="M121" s="94">
        <f>SUM(K121:L121)</f>
        <v>1</v>
      </c>
    </row>
    <row r="122" spans="1:13" x14ac:dyDescent="0.2">
      <c r="A122" s="1"/>
      <c r="B122" s="32" t="s">
        <v>159</v>
      </c>
      <c r="C122" s="13"/>
      <c r="D122" s="13">
        <v>877</v>
      </c>
      <c r="E122" s="115"/>
      <c r="F122" s="162"/>
      <c r="I122" s="171" t="s">
        <v>170</v>
      </c>
      <c r="J122" s="86"/>
      <c r="K122" s="29">
        <v>0</v>
      </c>
      <c r="L122" s="29">
        <v>0</v>
      </c>
      <c r="M122" s="94">
        <f>SUM(K122:L122)</f>
        <v>0</v>
      </c>
    </row>
    <row r="123" spans="1:13" x14ac:dyDescent="0.2">
      <c r="A123" s="1"/>
      <c r="B123" s="101" t="s">
        <v>135</v>
      </c>
      <c r="C123" s="13"/>
      <c r="D123" s="13">
        <v>589</v>
      </c>
      <c r="E123" s="158"/>
      <c r="F123" s="162"/>
      <c r="I123" s="172" t="s">
        <v>23</v>
      </c>
      <c r="J123" s="173"/>
      <c r="K123" s="93">
        <v>20</v>
      </c>
      <c r="L123" s="93">
        <v>0</v>
      </c>
      <c r="M123" s="174">
        <f>SUM(K123:L123)</f>
        <v>20</v>
      </c>
    </row>
    <row r="124" spans="1:13" x14ac:dyDescent="0.2">
      <c r="A124" s="1"/>
      <c r="B124" s="101" t="s">
        <v>141</v>
      </c>
      <c r="C124" s="13"/>
      <c r="D124" s="13">
        <v>279</v>
      </c>
      <c r="E124" s="158"/>
      <c r="F124" s="162"/>
      <c r="I124" s="171" t="s">
        <v>146</v>
      </c>
      <c r="J124" s="86"/>
      <c r="K124" s="4">
        <v>1</v>
      </c>
      <c r="L124" s="4"/>
      <c r="M124" s="94">
        <f>SUM(K124:L124)</f>
        <v>1</v>
      </c>
    </row>
    <row r="125" spans="1:13" x14ac:dyDescent="0.2">
      <c r="A125" s="1"/>
      <c r="B125" s="101" t="s">
        <v>126</v>
      </c>
      <c r="C125" s="13"/>
      <c r="D125" s="13">
        <v>434</v>
      </c>
      <c r="E125" s="158"/>
      <c r="F125" s="162"/>
      <c r="I125" s="96" t="s">
        <v>273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/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SUM(D107:D125)</f>
        <v>8123</v>
      </c>
      <c r="E127">
        <f>SUM(E107:E126)</f>
        <v>486</v>
      </c>
      <c r="I127" s="132" t="s">
        <v>106</v>
      </c>
      <c r="J127" s="139"/>
      <c r="K127" s="105">
        <v>2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12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v>101</v>
      </c>
      <c r="D134" s="29">
        <v>49</v>
      </c>
      <c r="E134" s="29">
        <v>868</v>
      </c>
      <c r="F134" s="4">
        <v>483</v>
      </c>
      <c r="G134" s="4">
        <v>206</v>
      </c>
      <c r="H134" s="4">
        <v>0</v>
      </c>
      <c r="I134" s="4">
        <v>50</v>
      </c>
      <c r="J134" s="4">
        <v>424</v>
      </c>
      <c r="K134" s="4">
        <v>594</v>
      </c>
      <c r="L134" s="51">
        <f>SUM(C134:K134)</f>
        <v>2775</v>
      </c>
    </row>
    <row r="135" spans="1:13" x14ac:dyDescent="0.2">
      <c r="A135" s="31"/>
      <c r="B135" s="50" t="s">
        <v>9</v>
      </c>
      <c r="C135" s="169" t="s">
        <v>158</v>
      </c>
      <c r="D135" s="169" t="s">
        <v>158</v>
      </c>
      <c r="E135" s="169" t="s">
        <v>158</v>
      </c>
      <c r="F135" s="170">
        <v>125</v>
      </c>
      <c r="G135" s="170" t="s">
        <v>158</v>
      </c>
      <c r="H135" s="170" t="s">
        <v>158</v>
      </c>
      <c r="I135" s="170" t="s">
        <v>158</v>
      </c>
      <c r="J135" s="170">
        <v>413</v>
      </c>
      <c r="K135" s="170" t="s">
        <v>158</v>
      </c>
      <c r="L135" s="51">
        <f>SUM(C135:K135)</f>
        <v>538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6</v>
      </c>
      <c r="E136" s="155">
        <v>7</v>
      </c>
      <c r="F136" s="155">
        <v>1</v>
      </c>
      <c r="G136" s="155">
        <v>0</v>
      </c>
      <c r="H136" s="155">
        <v>0</v>
      </c>
      <c r="I136" s="168" t="s">
        <v>158</v>
      </c>
      <c r="J136" s="155">
        <v>1</v>
      </c>
      <c r="K136" s="155">
        <v>11</v>
      </c>
      <c r="L136" s="131">
        <f>SUM(C136:K136)</f>
        <v>26</v>
      </c>
    </row>
    <row r="137" spans="1:13" ht="13.5" thickTop="1" x14ac:dyDescent="0.2">
      <c r="A137" s="31"/>
      <c r="B137" s="50" t="s">
        <v>14</v>
      </c>
      <c r="C137" s="29">
        <f>SUM(C134:C136)</f>
        <v>101</v>
      </c>
      <c r="D137" s="29">
        <f>SUM(D134:D136)</f>
        <v>55</v>
      </c>
      <c r="E137" s="29">
        <f t="shared" ref="E137:L137" si="8">SUM(E134:E136)</f>
        <v>875</v>
      </c>
      <c r="F137" s="29">
        <f t="shared" si="8"/>
        <v>609</v>
      </c>
      <c r="G137" s="29">
        <f t="shared" si="8"/>
        <v>206</v>
      </c>
      <c r="H137" s="29">
        <f t="shared" si="8"/>
        <v>0</v>
      </c>
      <c r="I137" s="29">
        <f t="shared" si="8"/>
        <v>50</v>
      </c>
      <c r="J137" s="29">
        <f t="shared" si="8"/>
        <v>838</v>
      </c>
      <c r="K137" s="29">
        <f t="shared" si="8"/>
        <v>605</v>
      </c>
      <c r="L137" s="42">
        <f t="shared" si="8"/>
        <v>3339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/>
      <c r="B142" s="26"/>
      <c r="C142" s="26"/>
      <c r="D142" s="16"/>
      <c r="E142" s="16"/>
      <c r="F142" s="17"/>
      <c r="G142" s="26"/>
      <c r="H142" s="18"/>
      <c r="I142" s="18"/>
      <c r="J142" s="18"/>
      <c r="K142" s="16"/>
      <c r="L142" s="16"/>
      <c r="M142" s="19"/>
    </row>
    <row r="143" spans="1:13" ht="18" x14ac:dyDescent="0.25">
      <c r="A143" s="27" t="s">
        <v>82</v>
      </c>
      <c r="B143" s="28"/>
      <c r="C143" s="28"/>
      <c r="D143" s="20"/>
      <c r="E143" s="20"/>
      <c r="F143" s="21"/>
      <c r="G143" s="28" t="s">
        <v>160</v>
      </c>
      <c r="H143" s="22"/>
      <c r="I143" s="22"/>
      <c r="J143" s="22"/>
      <c r="K143" s="20"/>
      <c r="L143" s="20"/>
      <c r="M143" s="23"/>
    </row>
    <row r="144" spans="1:13" ht="18" x14ac:dyDescent="0.25">
      <c r="A144" s="46"/>
      <c r="B144" s="20"/>
      <c r="C144" s="20"/>
      <c r="D144" s="20"/>
      <c r="E144" s="20"/>
      <c r="F144" s="21"/>
      <c r="G144" s="127" t="s">
        <v>216</v>
      </c>
      <c r="H144" s="22"/>
      <c r="I144" s="68"/>
      <c r="J144" s="69"/>
      <c r="K144" s="70"/>
      <c r="L144" s="70"/>
      <c r="M144" s="103"/>
    </row>
    <row r="145" spans="1:13" x14ac:dyDescent="0.2">
      <c r="A145" s="27" t="s">
        <v>154</v>
      </c>
      <c r="B145" s="20"/>
      <c r="C145" s="20"/>
      <c r="D145" s="20"/>
      <c r="E145" s="20"/>
      <c r="F145" s="68"/>
      <c r="G145" s="127" t="s">
        <v>226</v>
      </c>
      <c r="H145" s="68"/>
      <c r="I145" s="68"/>
      <c r="J145" s="68"/>
      <c r="K145" s="71"/>
      <c r="L145" s="71"/>
      <c r="M145" s="72"/>
    </row>
    <row r="146" spans="1:13" x14ac:dyDescent="0.2">
      <c r="A146" s="125" t="s">
        <v>223</v>
      </c>
      <c r="B146" s="20"/>
      <c r="C146" s="20"/>
      <c r="D146" s="20"/>
      <c r="E146" s="20"/>
      <c r="F146" s="21"/>
      <c r="G146" s="127" t="s">
        <v>235</v>
      </c>
      <c r="H146" s="68"/>
      <c r="I146" s="68"/>
      <c r="J146" s="68"/>
      <c r="K146" s="71"/>
      <c r="L146" s="71"/>
      <c r="M146" s="72"/>
    </row>
    <row r="147" spans="1:13" x14ac:dyDescent="0.2">
      <c r="A147" s="126" t="s">
        <v>237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36"/>
    </row>
    <row r="148" spans="1:13" ht="18" x14ac:dyDescent="0.25">
      <c r="A148" s="125" t="s">
        <v>234</v>
      </c>
      <c r="B148" s="74"/>
      <c r="C148" s="20"/>
      <c r="D148" s="20"/>
      <c r="E148" s="20"/>
      <c r="F148" s="68"/>
      <c r="G148" s="28" t="s">
        <v>227</v>
      </c>
      <c r="H148" s="68"/>
      <c r="I148" s="22"/>
      <c r="J148" s="45"/>
      <c r="K148" s="20"/>
      <c r="L148" s="20"/>
      <c r="M148" s="23"/>
    </row>
    <row r="149" spans="1:13" ht="18" x14ac:dyDescent="0.25">
      <c r="A149" s="125" t="s">
        <v>236</v>
      </c>
      <c r="B149" s="20"/>
      <c r="C149" s="20"/>
      <c r="D149" s="20"/>
      <c r="E149" s="20"/>
      <c r="F149" s="68"/>
      <c r="G149" s="175" t="s">
        <v>228</v>
      </c>
      <c r="H149" s="22"/>
      <c r="I149" s="68"/>
      <c r="J149" s="68"/>
      <c r="K149" s="20"/>
      <c r="L149" s="20"/>
      <c r="M149" s="23"/>
    </row>
    <row r="150" spans="1:13" ht="18" x14ac:dyDescent="0.25">
      <c r="A150" s="125" t="s">
        <v>233</v>
      </c>
      <c r="B150" s="74"/>
      <c r="C150" s="20"/>
      <c r="D150" s="20"/>
      <c r="E150" s="20"/>
      <c r="F150" s="20"/>
      <c r="G150" s="127"/>
      <c r="H150" s="22"/>
      <c r="I150" s="22"/>
      <c r="J150" s="22"/>
      <c r="K150" s="22"/>
      <c r="L150" s="20"/>
      <c r="M150" s="23"/>
    </row>
    <row r="151" spans="1:13" x14ac:dyDescent="0.2">
      <c r="A151" s="31"/>
      <c r="B151" s="28"/>
      <c r="C151" s="28"/>
      <c r="D151" s="20"/>
      <c r="E151" s="28"/>
      <c r="F151" s="77"/>
      <c r="G151" s="28" t="s">
        <v>101</v>
      </c>
      <c r="H151" s="29"/>
      <c r="I151" s="68"/>
      <c r="J151" s="68"/>
      <c r="K151" s="20"/>
      <c r="L151" s="20"/>
      <c r="M151" s="23"/>
    </row>
    <row r="152" spans="1:13" x14ac:dyDescent="0.2">
      <c r="A152" s="31"/>
      <c r="B152" s="20"/>
      <c r="C152" s="20"/>
      <c r="D152" s="20"/>
      <c r="E152" s="20"/>
      <c r="F152" s="77"/>
      <c r="G152" s="175" t="s">
        <v>217</v>
      </c>
      <c r="H152" s="29"/>
      <c r="I152" s="68"/>
      <c r="J152" s="68"/>
      <c r="K152" s="20"/>
      <c r="L152" s="20"/>
      <c r="M152" s="23"/>
    </row>
    <row r="153" spans="1:13" x14ac:dyDescent="0.2">
      <c r="A153" s="46"/>
      <c r="B153" s="20"/>
      <c r="C153" s="20"/>
      <c r="D153" s="20"/>
      <c r="E153" s="20"/>
      <c r="F153" s="77"/>
      <c r="G153" s="180" t="s">
        <v>218</v>
      </c>
      <c r="H153" s="29"/>
      <c r="I153" s="29"/>
      <c r="J153" s="29"/>
      <c r="K153" s="20"/>
      <c r="L153" s="20"/>
      <c r="M153" s="23"/>
    </row>
    <row r="154" spans="1:13" ht="18" x14ac:dyDescent="0.25">
      <c r="A154" s="31"/>
      <c r="B154" s="29"/>
      <c r="C154" s="29"/>
      <c r="D154" s="29"/>
      <c r="E154" s="29"/>
      <c r="F154" s="21"/>
      <c r="G154" s="127"/>
      <c r="H154" s="29"/>
      <c r="I154" s="22"/>
      <c r="J154" s="22"/>
      <c r="K154" s="20"/>
      <c r="L154" s="20"/>
      <c r="M154" s="23"/>
    </row>
    <row r="155" spans="1:13" x14ac:dyDescent="0.2">
      <c r="A155" s="116" t="s">
        <v>157</v>
      </c>
      <c r="B155" s="20"/>
      <c r="C155" s="20"/>
      <c r="D155" s="20"/>
      <c r="E155" s="20"/>
      <c r="F155" s="21"/>
      <c r="G155" s="28"/>
      <c r="H155" s="29"/>
      <c r="I155" s="68"/>
      <c r="J155" s="68"/>
      <c r="K155" s="71"/>
      <c r="L155" s="71"/>
      <c r="M155" s="72"/>
    </row>
    <row r="156" spans="1:13" x14ac:dyDescent="0.2">
      <c r="A156" s="126" t="s">
        <v>239</v>
      </c>
      <c r="B156" s="20"/>
      <c r="C156" s="20"/>
      <c r="D156" s="20"/>
      <c r="E156" s="20"/>
      <c r="F156" s="21"/>
      <c r="G156" s="175"/>
      <c r="H156" s="29"/>
      <c r="I156" s="68"/>
      <c r="J156" s="68"/>
      <c r="K156" s="71"/>
      <c r="L156" s="71"/>
      <c r="M156" s="72"/>
    </row>
    <row r="157" spans="1:13" x14ac:dyDescent="0.2">
      <c r="A157" s="126" t="s">
        <v>221</v>
      </c>
      <c r="B157" s="20"/>
      <c r="C157" s="20"/>
      <c r="D157" s="20"/>
      <c r="E157" s="20"/>
      <c r="F157" s="21"/>
      <c r="G157" s="127"/>
      <c r="H157" s="29"/>
      <c r="I157" s="68"/>
      <c r="J157" s="68"/>
      <c r="K157" s="71"/>
      <c r="L157" s="71"/>
      <c r="M157" s="72"/>
    </row>
    <row r="158" spans="1:13" ht="18" x14ac:dyDescent="0.25">
      <c r="A158" s="126" t="s">
        <v>225</v>
      </c>
      <c r="B158" s="20"/>
      <c r="C158" s="20"/>
      <c r="D158" s="20"/>
      <c r="E158" s="20"/>
      <c r="F158" s="21"/>
      <c r="G158" s="109" t="s">
        <v>156</v>
      </c>
      <c r="H158" s="29"/>
      <c r="I158" s="22"/>
      <c r="J158" s="22"/>
      <c r="K158" s="71"/>
      <c r="L158" s="71"/>
      <c r="M158" s="72"/>
    </row>
    <row r="159" spans="1:13" x14ac:dyDescent="0.2">
      <c r="A159" s="125" t="s">
        <v>230</v>
      </c>
      <c r="B159" s="20"/>
      <c r="C159" s="20"/>
      <c r="D159" s="29"/>
      <c r="E159" s="29"/>
      <c r="F159" s="29"/>
      <c r="G159" s="127" t="s">
        <v>219</v>
      </c>
      <c r="H159" s="29"/>
      <c r="I159" s="29"/>
      <c r="J159" s="29"/>
      <c r="K159" s="29"/>
      <c r="L159" s="29"/>
      <c r="M159" s="36"/>
    </row>
    <row r="160" spans="1:13" x14ac:dyDescent="0.2">
      <c r="A160" s="125" t="s">
        <v>231</v>
      </c>
      <c r="B160" s="20"/>
      <c r="C160" s="20"/>
      <c r="D160" s="20"/>
      <c r="E160" s="20"/>
      <c r="F160" s="21"/>
      <c r="G160" s="177" t="s">
        <v>220</v>
      </c>
      <c r="H160" s="29"/>
      <c r="I160" s="29"/>
      <c r="J160" s="29"/>
      <c r="K160" s="71"/>
      <c r="L160" s="71"/>
      <c r="M160" s="72"/>
    </row>
    <row r="161" spans="1:13" x14ac:dyDescent="0.2">
      <c r="A161" s="125" t="s">
        <v>232</v>
      </c>
      <c r="B161" s="28"/>
      <c r="C161" s="28"/>
      <c r="D161" s="20"/>
      <c r="E161" s="20"/>
      <c r="F161" s="21"/>
      <c r="G161" s="175" t="s">
        <v>222</v>
      </c>
      <c r="H161" s="29"/>
      <c r="I161" s="68"/>
      <c r="J161" s="68"/>
      <c r="K161" s="71"/>
      <c r="L161" s="71"/>
      <c r="M161" s="72"/>
    </row>
    <row r="162" spans="1:13" x14ac:dyDescent="0.2">
      <c r="A162" s="31"/>
      <c r="B162" s="20"/>
      <c r="C162" s="20"/>
      <c r="D162" s="20"/>
      <c r="E162" s="74"/>
      <c r="F162" s="20"/>
      <c r="G162" s="181" t="s">
        <v>224</v>
      </c>
      <c r="H162" s="29"/>
      <c r="I162" s="20"/>
      <c r="J162" s="68"/>
      <c r="K162" s="29"/>
      <c r="L162" s="29"/>
      <c r="M162" s="36"/>
    </row>
    <row r="163" spans="1:13" ht="18" x14ac:dyDescent="0.25">
      <c r="A163" s="31"/>
      <c r="B163" s="20"/>
      <c r="C163" s="20"/>
      <c r="D163" s="20"/>
      <c r="E163" s="20"/>
      <c r="F163" s="21"/>
      <c r="G163" s="181" t="s">
        <v>229</v>
      </c>
      <c r="H163" s="29"/>
      <c r="I163" s="22"/>
      <c r="J163" s="22"/>
      <c r="K163" s="20"/>
      <c r="L163" s="20"/>
      <c r="M163" s="23"/>
    </row>
    <row r="164" spans="1:13" ht="18" x14ac:dyDescent="0.25">
      <c r="A164" s="31"/>
      <c r="B164" s="20"/>
      <c r="C164" s="20"/>
      <c r="D164" s="20"/>
      <c r="E164" s="74"/>
      <c r="F164" s="68"/>
      <c r="G164" s="182" t="s">
        <v>238</v>
      </c>
      <c r="H164" s="69"/>
      <c r="I164" s="69"/>
      <c r="J164" s="68"/>
      <c r="K164" s="71"/>
      <c r="L164" s="74"/>
      <c r="M164" s="104"/>
    </row>
    <row r="165" spans="1:13" x14ac:dyDescent="0.2">
      <c r="A165" s="46"/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3"/>
    </row>
    <row r="166" spans="1:13" x14ac:dyDescent="0.2">
      <c r="A166" s="31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36"/>
    </row>
    <row r="167" spans="1:13" x14ac:dyDescent="0.2">
      <c r="A167" s="41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9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6">
    <mergeCell ref="B117:C117"/>
    <mergeCell ref="B118:C118"/>
    <mergeCell ref="B119:C119"/>
    <mergeCell ref="B109:C109"/>
    <mergeCell ref="B108:C108"/>
    <mergeCell ref="B116:C116"/>
  </mergeCells>
  <pageMargins left="0.5" right="0.5" top="0.5" bottom="0.5" header="0.3" footer="0.5"/>
  <pageSetup fitToHeight="0" orientation="landscape" r:id="rId1"/>
  <headerFooter>
    <oddHeader>&amp;C
&amp;RSeptember 2016
 - 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topLeftCell="A10" zoomScaleNormal="100" workbookViewId="0">
      <selection activeCell="D10" sqref="D10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 t="s">
        <v>186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118</v>
      </c>
      <c r="D7" s="29">
        <v>22</v>
      </c>
      <c r="E7" s="29">
        <v>218</v>
      </c>
      <c r="F7" s="61">
        <v>472</v>
      </c>
      <c r="G7" s="61">
        <v>107</v>
      </c>
      <c r="H7" s="61">
        <v>1</v>
      </c>
      <c r="I7" s="61">
        <v>1</v>
      </c>
      <c r="J7" s="61">
        <v>388</v>
      </c>
      <c r="K7" s="61">
        <v>13</v>
      </c>
      <c r="L7" s="166"/>
      <c r="M7" s="51">
        <f>SUM(C7:L7)</f>
        <v>1340</v>
      </c>
    </row>
    <row r="8" spans="1:18" x14ac:dyDescent="0.2">
      <c r="A8" s="31"/>
      <c r="B8" s="47" t="s">
        <v>146</v>
      </c>
      <c r="C8" s="29">
        <v>17</v>
      </c>
      <c r="D8" s="29">
        <v>0</v>
      </c>
      <c r="E8" s="29">
        <v>25</v>
      </c>
      <c r="F8" s="61">
        <v>75</v>
      </c>
      <c r="G8" s="61">
        <v>7</v>
      </c>
      <c r="H8" s="61">
        <v>1</v>
      </c>
      <c r="I8" s="61">
        <v>1</v>
      </c>
      <c r="J8" s="61">
        <v>47</v>
      </c>
      <c r="K8" s="61">
        <v>5</v>
      </c>
      <c r="L8" s="167">
        <v>24</v>
      </c>
      <c r="M8" s="51">
        <f>SUM(C8:L8)</f>
        <v>202</v>
      </c>
    </row>
    <row r="9" spans="1:18" ht="13.5" thickBot="1" x14ac:dyDescent="0.25">
      <c r="A9" s="31"/>
      <c r="B9" s="47" t="s">
        <v>147</v>
      </c>
      <c r="C9" s="3">
        <v>2</v>
      </c>
      <c r="D9" s="3">
        <v>0</v>
      </c>
      <c r="E9" s="3">
        <v>4</v>
      </c>
      <c r="F9" s="3">
        <v>36</v>
      </c>
      <c r="G9" s="3">
        <v>24</v>
      </c>
      <c r="H9" s="3">
        <v>0</v>
      </c>
      <c r="I9" s="3">
        <v>0</v>
      </c>
      <c r="J9" s="3">
        <v>33</v>
      </c>
      <c r="K9" s="3">
        <v>17</v>
      </c>
      <c r="L9" s="168"/>
      <c r="M9" s="49">
        <f>SUM(C9:L9)</f>
        <v>116</v>
      </c>
    </row>
    <row r="10" spans="1:18" ht="13.5" thickTop="1" x14ac:dyDescent="0.2">
      <c r="A10" s="41"/>
      <c r="B10" s="55" t="s">
        <v>14</v>
      </c>
      <c r="C10" s="38">
        <f>SUM(C7:C9)</f>
        <v>137</v>
      </c>
      <c r="D10" s="38">
        <f>SUM(D7:D9)</f>
        <v>22</v>
      </c>
      <c r="E10" s="38">
        <f t="shared" ref="E10:L10" si="0">SUM(E7:E9)</f>
        <v>247</v>
      </c>
      <c r="F10" s="38">
        <f t="shared" si="0"/>
        <v>583</v>
      </c>
      <c r="G10" s="38">
        <f t="shared" si="0"/>
        <v>138</v>
      </c>
      <c r="H10" s="38">
        <f t="shared" si="0"/>
        <v>2</v>
      </c>
      <c r="I10" s="38">
        <f t="shared" si="0"/>
        <v>2</v>
      </c>
      <c r="J10" s="38">
        <f t="shared" si="0"/>
        <v>468</v>
      </c>
      <c r="K10" s="38">
        <f t="shared" si="0"/>
        <v>35</v>
      </c>
      <c r="L10" s="38">
        <f t="shared" si="0"/>
        <v>24</v>
      </c>
      <c r="M10" s="39">
        <f>SUM(C10:L10)</f>
        <v>1658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3373</v>
      </c>
      <c r="D12" s="123">
        <v>82</v>
      </c>
      <c r="E12" s="122">
        <v>14584</v>
      </c>
      <c r="F12" s="123">
        <v>12094</v>
      </c>
      <c r="G12" s="123">
        <v>9464</v>
      </c>
      <c r="H12" s="123">
        <v>104</v>
      </c>
      <c r="I12" s="123">
        <v>60</v>
      </c>
      <c r="J12" s="123">
        <v>11332</v>
      </c>
      <c r="K12" s="123">
        <v>1897</v>
      </c>
      <c r="L12" s="123"/>
      <c r="M12" s="124">
        <f>SUM(C12:K12)</f>
        <v>52990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69</v>
      </c>
      <c r="D19" s="29">
        <v>1</v>
      </c>
      <c r="E19" s="29">
        <v>106</v>
      </c>
      <c r="F19" s="4">
        <v>185</v>
      </c>
      <c r="G19" s="4">
        <v>82</v>
      </c>
      <c r="H19" s="4">
        <v>1</v>
      </c>
      <c r="I19" s="4">
        <v>5</v>
      </c>
      <c r="J19" s="4">
        <v>63</v>
      </c>
      <c r="K19" s="4">
        <v>42</v>
      </c>
      <c r="L19" s="36">
        <f>SUM(C19:K19)</f>
        <v>554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0</v>
      </c>
      <c r="D21" s="4">
        <v>1</v>
      </c>
      <c r="E21" s="4">
        <v>18</v>
      </c>
      <c r="F21" s="4">
        <v>17</v>
      </c>
      <c r="G21" s="4">
        <v>19</v>
      </c>
      <c r="H21" s="4">
        <v>1</v>
      </c>
      <c r="I21" s="4">
        <v>0</v>
      </c>
      <c r="J21" s="4">
        <v>30</v>
      </c>
      <c r="K21" s="4">
        <v>0</v>
      </c>
      <c r="L21" s="51">
        <f>SUM(C21:K21)</f>
        <v>86</v>
      </c>
    </row>
    <row r="22" spans="1:13" x14ac:dyDescent="0.2">
      <c r="A22" s="31"/>
      <c r="B22" s="29" t="s">
        <v>10</v>
      </c>
      <c r="C22" s="4">
        <v>4</v>
      </c>
      <c r="D22" s="4">
        <v>4</v>
      </c>
      <c r="E22" s="4">
        <v>13</v>
      </c>
      <c r="F22" s="4">
        <v>58</v>
      </c>
      <c r="G22" s="4">
        <v>19</v>
      </c>
      <c r="H22" s="4">
        <v>2</v>
      </c>
      <c r="I22" s="4">
        <v>2</v>
      </c>
      <c r="J22" s="4">
        <v>25</v>
      </c>
      <c r="K22" s="4">
        <v>4</v>
      </c>
      <c r="L22" s="51">
        <f>SUM(C22:K22)</f>
        <v>131</v>
      </c>
    </row>
    <row r="23" spans="1:13" ht="13.5" thickBot="1" x14ac:dyDescent="0.25">
      <c r="A23" s="31"/>
      <c r="B23" s="29" t="s">
        <v>9</v>
      </c>
      <c r="C23" s="3">
        <v>105</v>
      </c>
      <c r="D23" s="3">
        <v>63</v>
      </c>
      <c r="E23" s="3">
        <v>259</v>
      </c>
      <c r="F23" s="3">
        <v>300</v>
      </c>
      <c r="G23" s="3">
        <v>153</v>
      </c>
      <c r="H23" s="3">
        <v>11</v>
      </c>
      <c r="I23" s="3">
        <v>11</v>
      </c>
      <c r="J23" s="3">
        <v>518</v>
      </c>
      <c r="K23" s="3">
        <v>129</v>
      </c>
      <c r="L23" s="49">
        <f>SUM(C23:K23)</f>
        <v>1549</v>
      </c>
    </row>
    <row r="24" spans="1:13" ht="13.5" thickTop="1" x14ac:dyDescent="0.2">
      <c r="A24" s="31"/>
      <c r="B24" s="50" t="s">
        <v>14</v>
      </c>
      <c r="C24" s="29">
        <f>SUM(C19:C23)</f>
        <v>179</v>
      </c>
      <c r="D24" s="29">
        <f t="shared" ref="D24:L24" si="1">SUM(D19:D23)</f>
        <v>69</v>
      </c>
      <c r="E24" s="29">
        <f t="shared" si="1"/>
        <v>397</v>
      </c>
      <c r="F24" s="29">
        <f t="shared" si="1"/>
        <v>560</v>
      </c>
      <c r="G24" s="29">
        <f t="shared" si="1"/>
        <v>274</v>
      </c>
      <c r="H24" s="29">
        <f t="shared" si="1"/>
        <v>15</v>
      </c>
      <c r="I24" s="29">
        <f t="shared" si="1"/>
        <v>18</v>
      </c>
      <c r="J24" s="29">
        <f t="shared" si="1"/>
        <v>636</v>
      </c>
      <c r="K24" s="29">
        <f t="shared" si="1"/>
        <v>180</v>
      </c>
      <c r="L24" s="36">
        <f t="shared" si="1"/>
        <v>2328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132</v>
      </c>
      <c r="M26" s="156" t="s">
        <v>14</v>
      </c>
    </row>
    <row r="27" spans="1:13" x14ac:dyDescent="0.2">
      <c r="A27" s="132" t="s">
        <v>34</v>
      </c>
      <c r="B27" s="139"/>
      <c r="C27" s="73">
        <v>9.75</v>
      </c>
      <c r="D27" s="73">
        <v>0</v>
      </c>
      <c r="E27" s="73">
        <v>16</v>
      </c>
      <c r="F27" s="73">
        <v>130.24</v>
      </c>
      <c r="G27" s="73">
        <v>9.75</v>
      </c>
      <c r="H27" s="73">
        <v>0</v>
      </c>
      <c r="I27" s="73">
        <v>0</v>
      </c>
      <c r="J27" s="73">
        <v>40.25</v>
      </c>
      <c r="K27" s="73">
        <v>1.5</v>
      </c>
      <c r="L27" s="73">
        <v>0</v>
      </c>
      <c r="M27" s="118">
        <f>SUM(C27:L27)</f>
        <v>207.49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43</v>
      </c>
      <c r="D31" s="29">
        <v>9</v>
      </c>
      <c r="E31" s="29">
        <v>45</v>
      </c>
      <c r="F31" s="4">
        <v>227</v>
      </c>
      <c r="G31" s="4">
        <v>112</v>
      </c>
      <c r="H31" s="4">
        <v>230</v>
      </c>
      <c r="I31" s="4">
        <v>3</v>
      </c>
      <c r="J31" s="4">
        <v>167</v>
      </c>
      <c r="K31" s="4">
        <v>37</v>
      </c>
      <c r="L31" s="51">
        <f t="shared" ref="L31:L36" si="2">SUM(C31:K31)</f>
        <v>873</v>
      </c>
    </row>
    <row r="32" spans="1:13" x14ac:dyDescent="0.2">
      <c r="B32" s="60" t="s">
        <v>18</v>
      </c>
      <c r="C32" s="29">
        <v>15</v>
      </c>
      <c r="D32" s="29">
        <v>2</v>
      </c>
      <c r="E32" s="29">
        <v>64</v>
      </c>
      <c r="F32" s="4">
        <v>49</v>
      </c>
      <c r="G32" s="4">
        <v>15</v>
      </c>
      <c r="H32" s="4">
        <v>9</v>
      </c>
      <c r="I32" s="4">
        <v>2</v>
      </c>
      <c r="J32" s="4">
        <v>52</v>
      </c>
      <c r="K32" s="4">
        <v>33</v>
      </c>
      <c r="L32" s="51">
        <f t="shared" si="2"/>
        <v>241</v>
      </c>
    </row>
    <row r="33" spans="1:12" x14ac:dyDescent="0.2">
      <c r="B33" s="60" t="s">
        <v>20</v>
      </c>
      <c r="C33" s="29">
        <v>199</v>
      </c>
      <c r="D33" s="29">
        <v>296</v>
      </c>
      <c r="E33" s="29">
        <v>590</v>
      </c>
      <c r="F33" s="29">
        <v>348</v>
      </c>
      <c r="G33" s="4">
        <v>350</v>
      </c>
      <c r="H33" s="4">
        <v>1</v>
      </c>
      <c r="I33" s="4">
        <v>0</v>
      </c>
      <c r="J33" s="4">
        <v>399</v>
      </c>
      <c r="K33" s="4">
        <v>298</v>
      </c>
      <c r="L33" s="51">
        <f t="shared" si="2"/>
        <v>2481</v>
      </c>
    </row>
    <row r="34" spans="1:12" x14ac:dyDescent="0.2">
      <c r="B34" s="60" t="s">
        <v>108</v>
      </c>
      <c r="C34" s="4">
        <f>26+67</f>
        <v>93</v>
      </c>
      <c r="D34" s="4">
        <f>31+38</f>
        <v>69</v>
      </c>
      <c r="E34" s="4">
        <f>35+78</f>
        <v>113</v>
      </c>
      <c r="F34" s="4">
        <f>38+19</f>
        <v>57</v>
      </c>
      <c r="G34" s="4">
        <f>26+61</f>
        <v>87</v>
      </c>
      <c r="H34" s="4">
        <f>19+74</f>
        <v>93</v>
      </c>
      <c r="I34" s="4">
        <f>13+19</f>
        <v>32</v>
      </c>
      <c r="J34">
        <f>28+86</f>
        <v>114</v>
      </c>
      <c r="K34" s="4">
        <f>72+145</f>
        <v>217</v>
      </c>
      <c r="L34" s="51">
        <f t="shared" si="2"/>
        <v>875</v>
      </c>
    </row>
    <row r="35" spans="1:12" ht="13.5" thickBot="1" x14ac:dyDescent="0.25">
      <c r="B35" s="119" t="s">
        <v>19</v>
      </c>
      <c r="C35" s="3">
        <f>SUM(C76)</f>
        <v>34</v>
      </c>
      <c r="D35" s="3">
        <f>SUM(D76)</f>
        <v>38</v>
      </c>
      <c r="E35" s="3">
        <f t="shared" ref="E35:K35" si="3">SUM(E76)</f>
        <v>90</v>
      </c>
      <c r="F35" s="3">
        <f t="shared" si="3"/>
        <v>153</v>
      </c>
      <c r="G35" s="3">
        <f t="shared" si="3"/>
        <v>123</v>
      </c>
      <c r="H35" s="3">
        <f t="shared" si="3"/>
        <v>25</v>
      </c>
      <c r="I35" s="3">
        <f t="shared" si="3"/>
        <v>11</v>
      </c>
      <c r="J35" s="3">
        <f t="shared" si="3"/>
        <v>233</v>
      </c>
      <c r="K35" s="3">
        <f t="shared" si="3"/>
        <v>63</v>
      </c>
      <c r="L35" s="117">
        <f t="shared" si="2"/>
        <v>770</v>
      </c>
    </row>
    <row r="36" spans="1:12" ht="13.5" thickTop="1" x14ac:dyDescent="0.2">
      <c r="B36" s="58" t="s">
        <v>14</v>
      </c>
      <c r="C36" s="38">
        <f t="shared" ref="C36:K36" si="4">SUM(C31:C35)</f>
        <v>384</v>
      </c>
      <c r="D36" s="38">
        <f t="shared" si="4"/>
        <v>414</v>
      </c>
      <c r="E36" s="38">
        <f t="shared" si="4"/>
        <v>902</v>
      </c>
      <c r="F36" s="38">
        <f t="shared" si="4"/>
        <v>834</v>
      </c>
      <c r="G36" s="38">
        <f>SUM(G31:G35)</f>
        <v>687</v>
      </c>
      <c r="H36" s="38">
        <f t="shared" si="4"/>
        <v>358</v>
      </c>
      <c r="I36" s="38">
        <f t="shared" si="4"/>
        <v>48</v>
      </c>
      <c r="J36" s="38">
        <f t="shared" si="4"/>
        <v>965</v>
      </c>
      <c r="K36" s="38">
        <f t="shared" si="4"/>
        <v>648</v>
      </c>
      <c r="L36" s="80">
        <f t="shared" si="2"/>
        <v>5240</v>
      </c>
    </row>
    <row r="38" spans="1:12" x14ac:dyDescent="0.2">
      <c r="A38" s="137" t="s">
        <v>56</v>
      </c>
      <c r="B38" s="138"/>
      <c r="C38" s="33">
        <v>7</v>
      </c>
      <c r="D38" s="33">
        <v>3</v>
      </c>
      <c r="E38" s="33">
        <v>9</v>
      </c>
      <c r="F38" s="56">
        <v>9</v>
      </c>
      <c r="G38" s="56">
        <v>3</v>
      </c>
      <c r="H38" s="56">
        <v>0</v>
      </c>
      <c r="I38" s="56">
        <v>0</v>
      </c>
      <c r="J38" s="56">
        <v>16</v>
      </c>
      <c r="K38" s="56">
        <v>0</v>
      </c>
      <c r="L38" s="120">
        <f>SUM(C38:K38)</f>
        <v>47</v>
      </c>
    </row>
    <row r="39" spans="1:12" ht="13.5" thickBot="1" x14ac:dyDescent="0.25">
      <c r="A39" s="60" t="s">
        <v>148</v>
      </c>
      <c r="B39" s="50"/>
      <c r="C39" s="3">
        <v>0</v>
      </c>
      <c r="D39" s="3">
        <v>0</v>
      </c>
      <c r="E39" s="3">
        <v>0</v>
      </c>
      <c r="F39" s="3">
        <v>34</v>
      </c>
      <c r="G39" s="3"/>
      <c r="H39" s="3">
        <v>8</v>
      </c>
      <c r="I39" s="3">
        <v>0</v>
      </c>
      <c r="J39" s="3">
        <v>424</v>
      </c>
      <c r="K39" s="3">
        <v>0</v>
      </c>
      <c r="L39" s="117">
        <f>SUM(C39:K39)</f>
        <v>466</v>
      </c>
    </row>
    <row r="40" spans="1:12" ht="13.5" thickTop="1" x14ac:dyDescent="0.2">
      <c r="A40" s="60"/>
      <c r="B40" s="50" t="s">
        <v>7</v>
      </c>
      <c r="C40" s="29">
        <f>SUM(C38:C39)</f>
        <v>7</v>
      </c>
      <c r="D40" s="29">
        <f t="shared" ref="D40:K40" si="5">SUM(D38:D39)</f>
        <v>3</v>
      </c>
      <c r="E40" s="29">
        <f t="shared" si="5"/>
        <v>9</v>
      </c>
      <c r="F40" s="29">
        <f t="shared" si="5"/>
        <v>43</v>
      </c>
      <c r="G40" s="29">
        <f t="shared" si="5"/>
        <v>3</v>
      </c>
      <c r="H40" s="179">
        <f>SUM(H38:H39)</f>
        <v>8</v>
      </c>
      <c r="I40" s="29">
        <f t="shared" si="5"/>
        <v>0</v>
      </c>
      <c r="J40" s="29">
        <f t="shared" si="5"/>
        <v>440</v>
      </c>
      <c r="K40" s="29">
        <f t="shared" si="5"/>
        <v>0</v>
      </c>
      <c r="L40" s="121">
        <f>SUM(L38:L39)</f>
        <v>513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0</v>
      </c>
      <c r="F42" s="123">
        <v>4</v>
      </c>
      <c r="G42" s="123">
        <v>45</v>
      </c>
      <c r="H42" s="123">
        <v>0</v>
      </c>
      <c r="I42" s="123">
        <v>0</v>
      </c>
      <c r="J42" s="123">
        <v>64</v>
      </c>
      <c r="K42" s="123">
        <v>0</v>
      </c>
      <c r="L42" s="124">
        <f>SUM(C42:K42)</f>
        <v>113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0</v>
      </c>
      <c r="F44" s="33">
        <v>0</v>
      </c>
      <c r="G44" s="33">
        <v>1</v>
      </c>
      <c r="H44" s="33">
        <v>0</v>
      </c>
      <c r="I44" s="33">
        <v>0</v>
      </c>
      <c r="J44" s="33">
        <v>0</v>
      </c>
      <c r="K44" s="33">
        <v>0</v>
      </c>
      <c r="L44" s="34">
        <f>SUM(C44:K44)</f>
        <v>1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0</v>
      </c>
      <c r="F45" s="38">
        <v>0</v>
      </c>
      <c r="G45" s="38">
        <v>12</v>
      </c>
      <c r="H45" s="38">
        <v>0</v>
      </c>
      <c r="I45" s="38">
        <v>0</v>
      </c>
      <c r="J45" s="38">
        <v>0</v>
      </c>
      <c r="K45" s="38">
        <v>0</v>
      </c>
      <c r="L45" s="39">
        <f>SUM(C45:K45)</f>
        <v>12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>
        <v>4</v>
      </c>
      <c r="D49" s="122">
        <v>1</v>
      </c>
      <c r="E49" s="122">
        <v>2</v>
      </c>
      <c r="F49" s="129">
        <v>4</v>
      </c>
      <c r="G49" s="129">
        <v>6</v>
      </c>
      <c r="H49" s="129"/>
      <c r="I49" s="129">
        <v>1</v>
      </c>
      <c r="J49" s="129">
        <v>29</v>
      </c>
      <c r="K49" s="129">
        <v>1</v>
      </c>
      <c r="L49" s="130">
        <f t="shared" ref="L49:L75" si="6">SUM(C49:K49)</f>
        <v>48</v>
      </c>
    </row>
    <row r="50" spans="2:12" x14ac:dyDescent="0.2">
      <c r="B50" s="100" t="s">
        <v>113</v>
      </c>
      <c r="C50" s="122">
        <v>2</v>
      </c>
      <c r="D50" s="122"/>
      <c r="E50" s="129"/>
      <c r="F50" s="122">
        <v>8</v>
      </c>
      <c r="G50" s="122">
        <v>1</v>
      </c>
      <c r="H50" s="122"/>
      <c r="I50" s="122"/>
      <c r="J50" s="122">
        <v>10</v>
      </c>
      <c r="K50" s="122">
        <v>1</v>
      </c>
      <c r="L50" s="130">
        <f t="shared" si="6"/>
        <v>22</v>
      </c>
    </row>
    <row r="51" spans="2:12" x14ac:dyDescent="0.2">
      <c r="B51" s="100" t="s">
        <v>103</v>
      </c>
      <c r="C51" s="122">
        <v>2</v>
      </c>
      <c r="D51" s="122"/>
      <c r="E51" s="122">
        <v>3</v>
      </c>
      <c r="F51" s="122">
        <v>1</v>
      </c>
      <c r="G51" s="129"/>
      <c r="H51" s="129"/>
      <c r="I51" s="122"/>
      <c r="J51" s="122">
        <v>6</v>
      </c>
      <c r="K51" s="129"/>
      <c r="L51" s="130">
        <f t="shared" si="6"/>
        <v>12</v>
      </c>
    </row>
    <row r="52" spans="2:12" x14ac:dyDescent="0.2">
      <c r="B52" s="100" t="s">
        <v>137</v>
      </c>
      <c r="C52" s="122">
        <v>1</v>
      </c>
      <c r="D52" s="122">
        <v>4</v>
      </c>
      <c r="E52" s="122">
        <v>3</v>
      </c>
      <c r="F52" s="122">
        <v>9</v>
      </c>
      <c r="G52" s="129">
        <v>6</v>
      </c>
      <c r="H52" s="122"/>
      <c r="I52" s="122"/>
      <c r="J52" s="122">
        <v>6</v>
      </c>
      <c r="K52" s="129">
        <v>7</v>
      </c>
      <c r="L52" s="130">
        <f t="shared" si="6"/>
        <v>36</v>
      </c>
    </row>
    <row r="53" spans="2:12" x14ac:dyDescent="0.2">
      <c r="B53" s="100" t="s">
        <v>149</v>
      </c>
      <c r="C53" s="129">
        <v>7</v>
      </c>
      <c r="D53" s="122">
        <v>3</v>
      </c>
      <c r="E53" s="122">
        <v>4</v>
      </c>
      <c r="F53" s="122">
        <v>9</v>
      </c>
      <c r="G53" s="129">
        <v>13</v>
      </c>
      <c r="H53" s="122">
        <v>2</v>
      </c>
      <c r="I53" s="122">
        <v>3</v>
      </c>
      <c r="J53" s="122">
        <v>22</v>
      </c>
      <c r="K53" s="129">
        <v>17</v>
      </c>
      <c r="L53" s="130">
        <f t="shared" si="6"/>
        <v>80</v>
      </c>
    </row>
    <row r="54" spans="2:12" x14ac:dyDescent="0.2">
      <c r="B54" s="100" t="s">
        <v>104</v>
      </c>
      <c r="C54" s="129"/>
      <c r="D54" s="122"/>
      <c r="E54" s="129">
        <v>1</v>
      </c>
      <c r="F54" s="129">
        <v>2</v>
      </c>
      <c r="G54" s="129"/>
      <c r="H54" s="122"/>
      <c r="I54" s="122"/>
      <c r="J54" s="122"/>
      <c r="K54" s="122"/>
      <c r="L54" s="130">
        <f t="shared" si="6"/>
        <v>3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/>
      <c r="D56" s="122">
        <v>2</v>
      </c>
      <c r="E56" s="129">
        <v>7</v>
      </c>
      <c r="F56" s="129"/>
      <c r="G56" s="129"/>
      <c r="H56" s="129"/>
      <c r="I56" s="129"/>
      <c r="J56" s="129"/>
      <c r="K56" s="129"/>
      <c r="L56" s="130">
        <f t="shared" si="6"/>
        <v>9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6"/>
        <v>0</v>
      </c>
    </row>
    <row r="58" spans="2:12" x14ac:dyDescent="0.2">
      <c r="B58" s="100" t="s">
        <v>102</v>
      </c>
      <c r="C58" s="122">
        <v>5</v>
      </c>
      <c r="D58" s="122">
        <v>3</v>
      </c>
      <c r="E58" s="129">
        <v>1</v>
      </c>
      <c r="F58" s="129">
        <v>16</v>
      </c>
      <c r="G58" s="129">
        <v>9</v>
      </c>
      <c r="H58" s="129"/>
      <c r="I58" s="122">
        <v>2</v>
      </c>
      <c r="J58" s="122">
        <v>17</v>
      </c>
      <c r="K58" s="129">
        <v>7</v>
      </c>
      <c r="L58" s="130">
        <f t="shared" si="6"/>
        <v>60</v>
      </c>
    </row>
    <row r="59" spans="2:12" x14ac:dyDescent="0.2">
      <c r="B59" s="100" t="s">
        <v>105</v>
      </c>
      <c r="C59" s="122">
        <v>1</v>
      </c>
      <c r="D59" s="122"/>
      <c r="E59" s="129">
        <v>1</v>
      </c>
      <c r="F59" s="129">
        <v>7</v>
      </c>
      <c r="G59" s="129">
        <v>1</v>
      </c>
      <c r="H59" s="129"/>
      <c r="I59" s="122"/>
      <c r="J59" s="122">
        <v>7</v>
      </c>
      <c r="K59" s="129">
        <v>1</v>
      </c>
      <c r="L59" s="130">
        <f t="shared" si="6"/>
        <v>18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6"/>
        <v>0</v>
      </c>
    </row>
    <row r="61" spans="2:12" x14ac:dyDescent="0.2">
      <c r="B61" s="111" t="s">
        <v>41</v>
      </c>
      <c r="C61" s="122">
        <v>4</v>
      </c>
      <c r="D61" s="122">
        <v>9</v>
      </c>
      <c r="E61" s="129">
        <v>15</v>
      </c>
      <c r="F61" s="129">
        <v>14</v>
      </c>
      <c r="G61" s="129">
        <v>37</v>
      </c>
      <c r="H61" s="129">
        <v>10</v>
      </c>
      <c r="I61" s="129"/>
      <c r="J61" s="129">
        <v>27</v>
      </c>
      <c r="K61" s="129">
        <v>1</v>
      </c>
      <c r="L61" s="130">
        <f t="shared" si="6"/>
        <v>117</v>
      </c>
    </row>
    <row r="62" spans="2:12" x14ac:dyDescent="0.2">
      <c r="B62" s="111" t="s">
        <v>40</v>
      </c>
      <c r="C62" s="122"/>
      <c r="D62" s="122"/>
      <c r="E62" s="129"/>
      <c r="F62" s="122">
        <v>1</v>
      </c>
      <c r="G62" s="129"/>
      <c r="H62" s="129"/>
      <c r="I62" s="129"/>
      <c r="J62" s="129"/>
      <c r="K62" s="129"/>
      <c r="L62" s="130">
        <f t="shared" si="6"/>
        <v>1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/>
      <c r="H64" s="129"/>
      <c r="I64" s="129"/>
      <c r="J64" s="129"/>
      <c r="K64" s="129">
        <v>2</v>
      </c>
      <c r="L64" s="130">
        <f t="shared" si="6"/>
        <v>2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>
        <v>5</v>
      </c>
      <c r="I65" s="129"/>
      <c r="J65" s="129"/>
      <c r="K65" s="129"/>
      <c r="L65" s="130">
        <f t="shared" si="6"/>
        <v>5</v>
      </c>
    </row>
    <row r="66" spans="1:13" x14ac:dyDescent="0.2">
      <c r="B66" s="111" t="s">
        <v>80</v>
      </c>
      <c r="C66" s="129">
        <v>6</v>
      </c>
      <c r="D66" s="129">
        <v>8</v>
      </c>
      <c r="E66" s="129">
        <v>22</v>
      </c>
      <c r="F66" s="129">
        <v>54</v>
      </c>
      <c r="G66" s="129">
        <v>30</v>
      </c>
      <c r="H66" s="129">
        <v>1</v>
      </c>
      <c r="I66" s="129">
        <v>3</v>
      </c>
      <c r="J66" s="129">
        <v>66</v>
      </c>
      <c r="K66" s="129">
        <v>13</v>
      </c>
      <c r="L66" s="130">
        <f t="shared" si="6"/>
        <v>203</v>
      </c>
    </row>
    <row r="67" spans="1:13" x14ac:dyDescent="0.2">
      <c r="B67" s="100" t="s">
        <v>151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30">
        <f t="shared" si="6"/>
        <v>0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/>
      <c r="D69" s="122">
        <v>4</v>
      </c>
      <c r="E69" s="129">
        <v>12</v>
      </c>
      <c r="F69" s="129">
        <v>4</v>
      </c>
      <c r="G69" s="129"/>
      <c r="H69" s="129">
        <v>1</v>
      </c>
      <c r="I69" s="129"/>
      <c r="J69" s="129">
        <v>6</v>
      </c>
      <c r="K69" s="129"/>
      <c r="L69" s="130">
        <f t="shared" si="6"/>
        <v>27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6"/>
        <v>0</v>
      </c>
    </row>
    <row r="71" spans="1:13" x14ac:dyDescent="0.2">
      <c r="B71" s="100" t="s">
        <v>43</v>
      </c>
      <c r="C71" s="129"/>
      <c r="D71" s="122">
        <v>4</v>
      </c>
      <c r="E71" s="129">
        <v>17</v>
      </c>
      <c r="F71" s="129">
        <v>22</v>
      </c>
      <c r="G71" s="129">
        <v>14</v>
      </c>
      <c r="H71" s="129">
        <v>5</v>
      </c>
      <c r="I71" s="129">
        <v>2</v>
      </c>
      <c r="J71" s="129">
        <v>22</v>
      </c>
      <c r="K71" s="129">
        <v>11</v>
      </c>
      <c r="L71" s="130">
        <f t="shared" si="6"/>
        <v>97</v>
      </c>
    </row>
    <row r="72" spans="1:13" x14ac:dyDescent="0.2">
      <c r="B72" s="100" t="s">
        <v>42</v>
      </c>
      <c r="C72" s="122">
        <v>2</v>
      </c>
      <c r="D72" s="122"/>
      <c r="E72" s="122">
        <v>2</v>
      </c>
      <c r="F72" s="129"/>
      <c r="G72" s="122">
        <v>1</v>
      </c>
      <c r="H72" s="129">
        <v>1</v>
      </c>
      <c r="I72" s="129"/>
      <c r="J72" s="129">
        <v>11</v>
      </c>
      <c r="K72" s="129">
        <v>2</v>
      </c>
      <c r="L72" s="130">
        <f t="shared" si="6"/>
        <v>19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6"/>
        <v>0</v>
      </c>
    </row>
    <row r="75" spans="1:13" ht="13.5" thickBot="1" x14ac:dyDescent="0.25">
      <c r="B75" s="66" t="s">
        <v>66</v>
      </c>
      <c r="C75" s="3"/>
      <c r="D75" s="3"/>
      <c r="E75" s="3"/>
      <c r="F75" s="3">
        <v>2</v>
      </c>
      <c r="G75" s="3">
        <v>5</v>
      </c>
      <c r="H75" s="3"/>
      <c r="I75" s="3"/>
      <c r="J75" s="3">
        <v>4</v>
      </c>
      <c r="K75" s="3"/>
      <c r="L75" s="176">
        <f t="shared" si="6"/>
        <v>11</v>
      </c>
    </row>
    <row r="76" spans="1:13" ht="13.5" thickTop="1" x14ac:dyDescent="0.2">
      <c r="B76" s="58" t="s">
        <v>7</v>
      </c>
      <c r="C76" s="38">
        <f t="shared" ref="C76:L76" si="7">SUM(C49:C75)</f>
        <v>34</v>
      </c>
      <c r="D76" s="38">
        <f t="shared" si="7"/>
        <v>38</v>
      </c>
      <c r="E76" s="38">
        <f t="shared" si="7"/>
        <v>90</v>
      </c>
      <c r="F76" s="38">
        <f t="shared" si="7"/>
        <v>153</v>
      </c>
      <c r="G76" s="38">
        <f t="shared" si="7"/>
        <v>123</v>
      </c>
      <c r="H76" s="38">
        <f t="shared" si="7"/>
        <v>25</v>
      </c>
      <c r="I76" s="38">
        <f t="shared" si="7"/>
        <v>11</v>
      </c>
      <c r="J76" s="38">
        <f t="shared" si="7"/>
        <v>233</v>
      </c>
      <c r="K76" s="38">
        <f t="shared" si="7"/>
        <v>63</v>
      </c>
      <c r="L76" s="38">
        <f t="shared" si="7"/>
        <v>770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47096</v>
      </c>
      <c r="C82" s="29">
        <f>86+42+23</f>
        <v>151</v>
      </c>
      <c r="D82" s="29">
        <v>1458</v>
      </c>
      <c r="E82" s="4">
        <f>4+43+2+14+8+79+25+30+67+30+1</f>
        <v>303</v>
      </c>
      <c r="F82" s="4">
        <f>55+3+18+4+1+1+5+4+5+11+4+65+3+4+2+9+3+10+2+6+19+14+4+8+1+15+2+22+7+1+7+3+12+10+9+3+24+5+3+1+2+3</f>
        <v>390</v>
      </c>
      <c r="G82" s="29">
        <v>759</v>
      </c>
      <c r="H82" s="4">
        <f>20+174+2727+1+33+16</f>
        <v>2971</v>
      </c>
      <c r="I82" s="4">
        <v>92</v>
      </c>
      <c r="J82" s="29">
        <v>17</v>
      </c>
      <c r="K82" s="4">
        <v>119</v>
      </c>
      <c r="L82" s="29">
        <v>4542</v>
      </c>
      <c r="M82" s="36">
        <f>SUM(B82:L82)</f>
        <v>57898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272</v>
      </c>
      <c r="L84" s="29"/>
    </row>
    <row r="85" spans="1:13" x14ac:dyDescent="0.2">
      <c r="A85" s="29"/>
      <c r="B85" s="29"/>
      <c r="C85" s="29"/>
      <c r="D85" s="29"/>
      <c r="E85" s="29"/>
      <c r="F85" s="29"/>
      <c r="G85" s="47" t="s">
        <v>240</v>
      </c>
      <c r="H85" s="29"/>
      <c r="J85" s="29"/>
      <c r="K85" s="29" t="s">
        <v>214</v>
      </c>
      <c r="L85" s="29"/>
    </row>
    <row r="86" spans="1:13" x14ac:dyDescent="0.2">
      <c r="A86" s="137" t="s">
        <v>86</v>
      </c>
      <c r="B86" s="138"/>
      <c r="C86" s="64">
        <v>178</v>
      </c>
      <c r="F86" s="137" t="s">
        <v>48</v>
      </c>
      <c r="G86" s="138"/>
      <c r="H86" s="64">
        <v>77</v>
      </c>
      <c r="J86" s="137" t="s">
        <v>73</v>
      </c>
      <c r="K86" s="142"/>
      <c r="L86" s="142"/>
      <c r="M86" s="34">
        <v>1</v>
      </c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57</v>
      </c>
      <c r="J87" s="140" t="s">
        <v>74</v>
      </c>
      <c r="K87" s="152"/>
      <c r="L87" s="152"/>
      <c r="M87" s="39">
        <v>0</v>
      </c>
    </row>
    <row r="88" spans="1:13" x14ac:dyDescent="0.2">
      <c r="A88" s="140" t="s">
        <v>87</v>
      </c>
      <c r="B88" s="152"/>
      <c r="C88" s="39">
        <v>231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v>7</v>
      </c>
      <c r="D91" s="6"/>
      <c r="E91" s="31" t="s">
        <v>9</v>
      </c>
      <c r="F91" s="29"/>
      <c r="G91" s="36">
        <f>624+124</f>
        <v>748</v>
      </c>
      <c r="I91" s="35" t="s">
        <v>127</v>
      </c>
      <c r="J91" s="29"/>
      <c r="K91" s="29"/>
      <c r="L91" s="36">
        <v>1079</v>
      </c>
      <c r="M91" s="6"/>
    </row>
    <row r="92" spans="1:13" x14ac:dyDescent="0.2">
      <c r="A92" s="35" t="s">
        <v>28</v>
      </c>
      <c r="B92" s="29"/>
      <c r="C92" s="36">
        <v>0</v>
      </c>
      <c r="D92" s="6"/>
      <c r="E92" s="31" t="s">
        <v>10</v>
      </c>
      <c r="F92" s="29"/>
      <c r="G92" s="36">
        <f>142+54</f>
        <v>196</v>
      </c>
      <c r="I92" s="35" t="s">
        <v>128</v>
      </c>
      <c r="J92" s="29"/>
      <c r="K92" s="29"/>
      <c r="L92" s="36">
        <v>192</v>
      </c>
      <c r="M92" s="6"/>
    </row>
    <row r="93" spans="1:13" x14ac:dyDescent="0.2">
      <c r="A93" s="35" t="s">
        <v>118</v>
      </c>
      <c r="B93" s="29"/>
      <c r="C93" s="36">
        <v>53</v>
      </c>
      <c r="D93" s="6"/>
      <c r="E93" s="31" t="s">
        <v>11</v>
      </c>
      <c r="F93" s="29"/>
      <c r="G93" s="36">
        <v>29</v>
      </c>
      <c r="I93" s="35" t="s">
        <v>45</v>
      </c>
      <c r="J93" s="29"/>
      <c r="K93" s="29"/>
      <c r="L93" s="36">
        <v>15</v>
      </c>
      <c r="M93" s="6"/>
    </row>
    <row r="94" spans="1:13" x14ac:dyDescent="0.2">
      <c r="A94" s="35" t="s">
        <v>119</v>
      </c>
      <c r="B94" s="47"/>
      <c r="C94" s="36">
        <f>839+77+1</f>
        <v>917</v>
      </c>
      <c r="D94" s="6"/>
      <c r="E94" s="31" t="s">
        <v>37</v>
      </c>
      <c r="F94" s="29"/>
      <c r="G94" s="36">
        <f>274+17</f>
        <v>291</v>
      </c>
      <c r="I94" s="35" t="s">
        <v>46</v>
      </c>
      <c r="J94" s="29"/>
      <c r="K94" s="29"/>
      <c r="L94" s="36">
        <v>3</v>
      </c>
      <c r="M94" s="6"/>
    </row>
    <row r="95" spans="1:13" x14ac:dyDescent="0.2">
      <c r="A95" s="35" t="s">
        <v>101</v>
      </c>
      <c r="B95" s="47"/>
      <c r="C95" s="36">
        <f>31+1+14+1</f>
        <v>47</v>
      </c>
      <c r="D95" s="6"/>
      <c r="E95" s="41" t="s">
        <v>38</v>
      </c>
      <c r="F95" s="38"/>
      <c r="G95" s="39">
        <v>3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v>12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v>95</v>
      </c>
    </row>
    <row r="98" spans="1:13" x14ac:dyDescent="0.2">
      <c r="A98" s="35" t="s">
        <v>120</v>
      </c>
      <c r="B98" s="29"/>
      <c r="C98" s="36">
        <v>0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42</v>
      </c>
    </row>
    <row r="100" spans="1:13" x14ac:dyDescent="0.2">
      <c r="A100" s="89" t="s">
        <v>122</v>
      </c>
      <c r="B100" s="47"/>
      <c r="C100" s="36">
        <v>0</v>
      </c>
      <c r="E100" s="35" t="s">
        <v>32</v>
      </c>
      <c r="F100" s="47"/>
      <c r="G100" s="47"/>
      <c r="H100" s="42">
        <v>35</v>
      </c>
    </row>
    <row r="101" spans="1:13" x14ac:dyDescent="0.2">
      <c r="A101" s="89" t="s">
        <v>18</v>
      </c>
      <c r="B101" s="29"/>
      <c r="C101" s="51">
        <v>12</v>
      </c>
      <c r="E101" s="37" t="s">
        <v>47</v>
      </c>
      <c r="F101" s="55"/>
      <c r="G101" s="38"/>
      <c r="H101" s="39"/>
      <c r="I101" s="2"/>
      <c r="J101" s="1"/>
    </row>
    <row r="102" spans="1:13" x14ac:dyDescent="0.2">
      <c r="A102" s="91" t="s">
        <v>20</v>
      </c>
      <c r="B102" s="38"/>
      <c r="C102" s="39">
        <f>479+117+100</f>
        <v>696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2"/>
      <c r="J103" s="1"/>
    </row>
    <row r="104" spans="1:13" x14ac:dyDescent="0.2">
      <c r="A104" s="79"/>
      <c r="B104" s="29"/>
      <c r="C104" s="29"/>
      <c r="I104" s="2"/>
      <c r="J104" s="1"/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3087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0</v>
      </c>
      <c r="E108" s="111">
        <v>269</v>
      </c>
      <c r="F108" s="31"/>
      <c r="H108" s="1"/>
      <c r="I108" s="60" t="s">
        <v>133</v>
      </c>
      <c r="J108" s="50"/>
      <c r="L108">
        <v>1958</v>
      </c>
      <c r="M108" s="36"/>
    </row>
    <row r="109" spans="1:13" x14ac:dyDescent="0.2">
      <c r="A109" s="1"/>
      <c r="B109" s="228" t="s">
        <v>97</v>
      </c>
      <c r="C109" s="229"/>
      <c r="D109" s="15">
        <v>761</v>
      </c>
      <c r="E109" s="157"/>
      <c r="F109" s="31"/>
      <c r="I109" s="60" t="s">
        <v>212</v>
      </c>
      <c r="K109" s="29"/>
      <c r="L109" s="29">
        <v>138</v>
      </c>
      <c r="M109" s="36"/>
    </row>
    <row r="110" spans="1:13" x14ac:dyDescent="0.2">
      <c r="B110" s="194" t="s">
        <v>348</v>
      </c>
      <c r="C110" s="15"/>
      <c r="D110" s="15">
        <v>468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207</v>
      </c>
      <c r="E111" s="112"/>
      <c r="F111" s="160"/>
      <c r="I111" s="60" t="s">
        <v>145</v>
      </c>
      <c r="J111" s="50"/>
      <c r="K111" s="29"/>
      <c r="L111" s="47">
        <v>28</v>
      </c>
      <c r="M111" s="63"/>
    </row>
    <row r="112" spans="1:13" x14ac:dyDescent="0.2">
      <c r="A112" s="1"/>
      <c r="B112" s="30" t="s">
        <v>244</v>
      </c>
      <c r="C112" s="30"/>
      <c r="D112" s="15"/>
      <c r="E112" s="112">
        <v>118</v>
      </c>
      <c r="F112" s="160"/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437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506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275</v>
      </c>
      <c r="E115" s="115"/>
      <c r="F115" s="161"/>
      <c r="I115" s="87" t="s">
        <v>111</v>
      </c>
      <c r="J115" s="33"/>
      <c r="K115" s="88">
        <v>3455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249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/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3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5</v>
      </c>
      <c r="E120" s="114">
        <v>178</v>
      </c>
      <c r="F120" s="163"/>
      <c r="I120" s="95" t="s">
        <v>22</v>
      </c>
      <c r="J120" s="86"/>
      <c r="K120" s="29">
        <v>3</v>
      </c>
      <c r="L120" s="29"/>
      <c r="M120" s="94">
        <f>SUM(K120:L120)</f>
        <v>3</v>
      </c>
    </row>
    <row r="121" spans="1:13" x14ac:dyDescent="0.2">
      <c r="B121" s="100" t="s">
        <v>144</v>
      </c>
      <c r="D121" s="13">
        <v>4789</v>
      </c>
      <c r="E121" s="111"/>
      <c r="F121" s="31"/>
      <c r="I121" s="171" t="s">
        <v>169</v>
      </c>
      <c r="J121" s="86"/>
      <c r="K121" s="29">
        <v>1</v>
      </c>
      <c r="L121" s="29"/>
      <c r="M121" s="94">
        <f>SUM(K121:L121)</f>
        <v>1</v>
      </c>
    </row>
    <row r="122" spans="1:13" x14ac:dyDescent="0.2">
      <c r="A122" s="1"/>
      <c r="B122" s="32" t="s">
        <v>159</v>
      </c>
      <c r="C122" s="13"/>
      <c r="D122" s="13">
        <v>7317</v>
      </c>
      <c r="E122" s="115"/>
      <c r="F122" s="162"/>
      <c r="I122" s="171" t="s">
        <v>170</v>
      </c>
      <c r="J122" s="86"/>
      <c r="K122" s="29"/>
      <c r="L122" s="29"/>
      <c r="M122" s="94">
        <f>SUM(K122:L122)</f>
        <v>0</v>
      </c>
    </row>
    <row r="123" spans="1:13" x14ac:dyDescent="0.2">
      <c r="A123" s="1"/>
      <c r="B123" s="101" t="s">
        <v>135</v>
      </c>
      <c r="C123" s="13"/>
      <c r="D123" s="13">
        <v>502</v>
      </c>
      <c r="E123" s="158"/>
      <c r="F123" s="162"/>
      <c r="I123" s="172" t="s">
        <v>23</v>
      </c>
      <c r="J123" s="173"/>
      <c r="K123" s="93">
        <v>15</v>
      </c>
      <c r="L123" s="93">
        <v>2</v>
      </c>
      <c r="M123" s="174">
        <f>SUM(K123:L123)</f>
        <v>17</v>
      </c>
    </row>
    <row r="124" spans="1:13" x14ac:dyDescent="0.2">
      <c r="A124" s="1"/>
      <c r="B124" s="101" t="s">
        <v>141</v>
      </c>
      <c r="C124" s="13"/>
      <c r="D124" s="13">
        <v>341</v>
      </c>
      <c r="E124" s="158"/>
      <c r="F124" s="162"/>
      <c r="I124" s="171" t="s">
        <v>146</v>
      </c>
      <c r="J124" s="86"/>
      <c r="K124" s="4">
        <v>5</v>
      </c>
      <c r="L124" s="4"/>
      <c r="M124" s="94">
        <f>SUM(K124:L124)</f>
        <v>5</v>
      </c>
    </row>
    <row r="125" spans="1:13" x14ac:dyDescent="0.2">
      <c r="A125" s="1"/>
      <c r="B125" s="101" t="s">
        <v>126</v>
      </c>
      <c r="C125" s="13"/>
      <c r="D125" s="13">
        <v>129</v>
      </c>
      <c r="E125" s="158"/>
      <c r="F125" s="162"/>
      <c r="I125" s="96" t="s">
        <v>273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/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SUM(D107:D125)</f>
        <v>18827</v>
      </c>
      <c r="E127">
        <f>SUM(E107:E126)</f>
        <v>565</v>
      </c>
      <c r="I127" s="132" t="s">
        <v>106</v>
      </c>
      <c r="J127" s="139"/>
      <c r="K127" s="105">
        <v>3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6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 t="s">
        <v>255</v>
      </c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v>15</v>
      </c>
      <c r="D134" s="29">
        <v>11</v>
      </c>
      <c r="E134" s="29">
        <v>127</v>
      </c>
      <c r="F134" s="4">
        <v>77</v>
      </c>
      <c r="G134" s="4">
        <v>27</v>
      </c>
      <c r="H134" s="4"/>
      <c r="I134" s="4">
        <v>14</v>
      </c>
      <c r="J134" s="4">
        <v>46</v>
      </c>
      <c r="K134" s="4">
        <v>79</v>
      </c>
      <c r="L134" s="51">
        <f>SUM(C134:K134)</f>
        <v>396</v>
      </c>
    </row>
    <row r="135" spans="1:13" x14ac:dyDescent="0.2">
      <c r="A135" s="31"/>
      <c r="B135" s="50" t="s">
        <v>9</v>
      </c>
      <c r="C135" s="169"/>
      <c r="D135" s="169"/>
      <c r="E135" s="169"/>
      <c r="F135" s="170">
        <v>22</v>
      </c>
      <c r="G135" s="170"/>
      <c r="H135" s="170"/>
      <c r="I135" s="170"/>
      <c r="J135" s="170">
        <v>38</v>
      </c>
      <c r="K135" s="170"/>
      <c r="L135" s="51">
        <f>SUM(C135:K135)</f>
        <v>60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3</v>
      </c>
      <c r="E136" s="155">
        <v>0</v>
      </c>
      <c r="F136" s="155">
        <v>1</v>
      </c>
      <c r="G136" s="155">
        <v>0</v>
      </c>
      <c r="H136" s="155"/>
      <c r="I136" s="168" t="s">
        <v>158</v>
      </c>
      <c r="J136" s="155">
        <v>0</v>
      </c>
      <c r="K136" s="155">
        <v>0</v>
      </c>
      <c r="L136" s="131">
        <f>SUM(C136:K136)</f>
        <v>4</v>
      </c>
    </row>
    <row r="137" spans="1:13" ht="13.5" thickTop="1" x14ac:dyDescent="0.2">
      <c r="A137" s="31"/>
      <c r="B137" s="50" t="s">
        <v>14</v>
      </c>
      <c r="C137" s="29">
        <f>SUM(C134:C136)</f>
        <v>15</v>
      </c>
      <c r="D137" s="29">
        <f>SUM(D134:D136)</f>
        <v>14</v>
      </c>
      <c r="E137" s="29">
        <f t="shared" ref="E137:L137" si="8">SUM(E134:E136)</f>
        <v>127</v>
      </c>
      <c r="F137" s="29">
        <f t="shared" si="8"/>
        <v>100</v>
      </c>
      <c r="G137" s="29">
        <f t="shared" si="8"/>
        <v>27</v>
      </c>
      <c r="H137" s="29">
        <f t="shared" si="8"/>
        <v>0</v>
      </c>
      <c r="I137" s="29">
        <f t="shared" si="8"/>
        <v>14</v>
      </c>
      <c r="J137" s="29">
        <f t="shared" si="8"/>
        <v>84</v>
      </c>
      <c r="K137" s="29">
        <f t="shared" si="8"/>
        <v>79</v>
      </c>
      <c r="L137" s="42">
        <f t="shared" si="8"/>
        <v>460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46"/>
      <c r="B143" s="20"/>
      <c r="C143" s="20"/>
      <c r="D143" s="20"/>
      <c r="E143" s="20"/>
      <c r="F143" s="21"/>
      <c r="G143" s="127" t="s">
        <v>256</v>
      </c>
      <c r="H143" s="22"/>
      <c r="I143" s="68"/>
      <c r="J143" s="69"/>
      <c r="K143" s="70"/>
      <c r="L143" s="70"/>
      <c r="M143" s="103"/>
    </row>
    <row r="144" spans="1:13" x14ac:dyDescent="0.2">
      <c r="A144" s="31"/>
      <c r="B144" s="20"/>
      <c r="C144" s="20"/>
      <c r="D144" s="20"/>
      <c r="E144" s="20"/>
      <c r="F144" s="68"/>
      <c r="G144" s="127" t="s">
        <v>260</v>
      </c>
      <c r="H144" s="68"/>
      <c r="I144" s="68"/>
      <c r="J144" s="68"/>
      <c r="K144" s="71"/>
      <c r="L144" s="71"/>
      <c r="M144" s="72"/>
    </row>
    <row r="145" spans="1:13" x14ac:dyDescent="0.2">
      <c r="A145" s="27" t="s">
        <v>154</v>
      </c>
      <c r="B145" s="20"/>
      <c r="C145" s="20"/>
      <c r="D145" s="20"/>
      <c r="E145" s="20"/>
      <c r="F145" s="21"/>
      <c r="G145" s="127" t="s">
        <v>275</v>
      </c>
      <c r="H145" s="68"/>
      <c r="I145" s="68"/>
      <c r="J145" s="68"/>
      <c r="K145" s="71"/>
      <c r="L145" s="71"/>
      <c r="M145" s="72"/>
    </row>
    <row r="146" spans="1:13" x14ac:dyDescent="0.2">
      <c r="A146" s="125" t="s">
        <v>270</v>
      </c>
      <c r="B146" s="29"/>
      <c r="C146" s="29"/>
      <c r="D146" s="29"/>
      <c r="E146" s="29"/>
      <c r="F146" s="29"/>
      <c r="I146" s="29"/>
      <c r="J146" s="29"/>
      <c r="K146" s="29"/>
      <c r="L146" s="29"/>
      <c r="M146" s="36"/>
    </row>
    <row r="147" spans="1:13" ht="18" x14ac:dyDescent="0.25">
      <c r="A147" s="126" t="s">
        <v>269</v>
      </c>
      <c r="B147" s="74"/>
      <c r="C147" s="20"/>
      <c r="D147" s="20"/>
      <c r="E147" s="20"/>
      <c r="F147" s="68"/>
      <c r="G147" s="28" t="s">
        <v>101</v>
      </c>
      <c r="I147" s="22"/>
      <c r="J147" s="45"/>
      <c r="K147" s="20"/>
      <c r="L147" s="20"/>
      <c r="M147" s="23"/>
    </row>
    <row r="148" spans="1:13" x14ac:dyDescent="0.2">
      <c r="A148" s="126" t="s">
        <v>258</v>
      </c>
      <c r="B148" s="20"/>
      <c r="C148" s="20"/>
      <c r="D148" s="20"/>
      <c r="E148" s="20"/>
      <c r="F148" s="68"/>
      <c r="G148" s="175" t="s">
        <v>246</v>
      </c>
      <c r="I148" s="68"/>
      <c r="J148" s="68"/>
      <c r="K148" s="20"/>
      <c r="L148" s="20"/>
      <c r="M148" s="23"/>
    </row>
    <row r="149" spans="1:13" ht="18" x14ac:dyDescent="0.25">
      <c r="A149" s="126" t="s">
        <v>259</v>
      </c>
      <c r="B149" s="74"/>
      <c r="C149" s="20"/>
      <c r="D149" s="20"/>
      <c r="E149" s="20"/>
      <c r="F149" s="20"/>
      <c r="G149" s="178" t="s">
        <v>249</v>
      </c>
      <c r="I149" s="22"/>
      <c r="J149" s="22"/>
      <c r="K149" s="22"/>
      <c r="L149" s="20"/>
      <c r="M149" s="23"/>
    </row>
    <row r="150" spans="1:13" x14ac:dyDescent="0.2">
      <c r="A150" s="126" t="s">
        <v>271</v>
      </c>
      <c r="C150" s="28"/>
      <c r="D150" s="20"/>
      <c r="E150" s="28"/>
      <c r="F150" s="77"/>
      <c r="G150" s="127" t="s">
        <v>250</v>
      </c>
      <c r="I150" s="68"/>
      <c r="J150" s="68"/>
      <c r="K150" s="20"/>
      <c r="L150" s="20"/>
      <c r="M150" s="23"/>
    </row>
    <row r="151" spans="1:13" x14ac:dyDescent="0.2">
      <c r="A151" s="126" t="s">
        <v>267</v>
      </c>
      <c r="C151" s="20"/>
      <c r="D151" s="20"/>
      <c r="E151" s="20"/>
      <c r="F151" s="77"/>
      <c r="G151" s="127" t="s">
        <v>261</v>
      </c>
      <c r="I151" s="68"/>
      <c r="J151" s="68"/>
      <c r="K151" s="20"/>
      <c r="L151" s="20"/>
      <c r="M151" s="23"/>
    </row>
    <row r="152" spans="1:13" x14ac:dyDescent="0.2">
      <c r="A152" s="126" t="s">
        <v>268</v>
      </c>
      <c r="B152" s="20"/>
      <c r="C152" s="20"/>
      <c r="D152" s="20"/>
      <c r="E152" s="20"/>
      <c r="F152" s="77"/>
      <c r="K152" s="20"/>
      <c r="L152" s="20"/>
      <c r="M152" s="23"/>
    </row>
    <row r="153" spans="1:13" x14ac:dyDescent="0.2">
      <c r="A153" s="126"/>
      <c r="B153" s="29"/>
      <c r="C153" s="29"/>
      <c r="D153" s="29"/>
      <c r="E153" s="29"/>
      <c r="F153" s="21"/>
      <c r="G153" s="109" t="s">
        <v>263</v>
      </c>
      <c r="K153" s="20"/>
      <c r="L153" s="20"/>
      <c r="M153" s="23"/>
    </row>
    <row r="154" spans="1:13" x14ac:dyDescent="0.2">
      <c r="A154" s="27" t="s">
        <v>251</v>
      </c>
      <c r="B154" s="20"/>
      <c r="C154" s="20"/>
      <c r="D154" s="20"/>
      <c r="E154" s="20"/>
      <c r="F154" s="21"/>
      <c r="G154" s="125" t="s">
        <v>264</v>
      </c>
      <c r="K154" s="71"/>
      <c r="L154" s="71"/>
      <c r="M154" s="72"/>
    </row>
    <row r="155" spans="1:13" x14ac:dyDescent="0.2">
      <c r="A155" s="125" t="s">
        <v>252</v>
      </c>
      <c r="B155" s="20"/>
      <c r="C155" s="20"/>
      <c r="D155" s="20"/>
      <c r="E155" s="20"/>
      <c r="F155" s="21"/>
      <c r="K155" s="71"/>
      <c r="L155" s="71"/>
      <c r="M155" s="72"/>
    </row>
    <row r="156" spans="1:13" x14ac:dyDescent="0.2">
      <c r="A156" s="46"/>
      <c r="B156" s="20"/>
      <c r="C156" s="20"/>
      <c r="D156" s="20"/>
      <c r="E156" s="20"/>
      <c r="F156" s="21"/>
      <c r="K156" s="71"/>
      <c r="L156" s="71"/>
      <c r="M156" s="72"/>
    </row>
    <row r="157" spans="1:13" ht="18" x14ac:dyDescent="0.25">
      <c r="A157" s="116" t="s">
        <v>157</v>
      </c>
      <c r="B157" s="20"/>
      <c r="C157" s="20"/>
      <c r="D157" s="20"/>
      <c r="E157" s="20"/>
      <c r="F157" s="21"/>
      <c r="G157" s="109" t="s">
        <v>156</v>
      </c>
      <c r="H157" s="29"/>
      <c r="I157" s="22"/>
      <c r="J157" s="22"/>
      <c r="K157" s="71"/>
      <c r="L157" s="71"/>
      <c r="M157" s="72"/>
    </row>
    <row r="158" spans="1:13" x14ac:dyDescent="0.2">
      <c r="A158" s="126" t="s">
        <v>266</v>
      </c>
      <c r="B158" s="20"/>
      <c r="C158" s="20"/>
      <c r="D158" s="29"/>
      <c r="E158" s="29"/>
      <c r="F158" s="29"/>
      <c r="G158" s="127" t="s">
        <v>247</v>
      </c>
      <c r="H158" s="29"/>
      <c r="I158" s="68"/>
      <c r="J158" s="68"/>
      <c r="K158" s="29"/>
      <c r="L158" s="29"/>
      <c r="M158" s="36"/>
    </row>
    <row r="159" spans="1:13" x14ac:dyDescent="0.2">
      <c r="A159" s="126" t="s">
        <v>253</v>
      </c>
      <c r="B159" s="20"/>
      <c r="C159" s="20"/>
      <c r="D159" s="20"/>
      <c r="E159" s="20"/>
      <c r="F159" s="21"/>
      <c r="G159" s="127" t="s">
        <v>257</v>
      </c>
      <c r="H159" s="29"/>
      <c r="I159" s="68"/>
      <c r="J159" s="68"/>
      <c r="K159" s="71"/>
      <c r="L159" s="71"/>
      <c r="M159" s="72"/>
    </row>
    <row r="160" spans="1:13" x14ac:dyDescent="0.2">
      <c r="A160" s="126" t="s">
        <v>254</v>
      </c>
      <c r="B160" s="28"/>
      <c r="C160" s="28"/>
      <c r="D160" s="20"/>
      <c r="E160" s="20"/>
      <c r="F160" s="21"/>
      <c r="G160" s="178" t="s">
        <v>262</v>
      </c>
      <c r="H160" s="29"/>
      <c r="I160" s="68"/>
      <c r="J160" s="68"/>
      <c r="K160" s="71"/>
      <c r="L160" s="71"/>
      <c r="M160" s="72"/>
    </row>
    <row r="161" spans="1:13" x14ac:dyDescent="0.2">
      <c r="A161" s="125" t="s">
        <v>265</v>
      </c>
      <c r="B161" s="20"/>
      <c r="C161" s="20"/>
      <c r="D161" s="20"/>
      <c r="E161" s="74"/>
      <c r="F161" s="20"/>
      <c r="G161" s="178"/>
      <c r="H161" s="29"/>
      <c r="I161" s="20"/>
      <c r="J161" s="68"/>
      <c r="K161" s="29"/>
      <c r="L161" s="29"/>
      <c r="M161" s="36"/>
    </row>
    <row r="162" spans="1:13" ht="18" x14ac:dyDescent="0.25">
      <c r="A162" s="31"/>
      <c r="B162" s="20"/>
      <c r="C162" s="20"/>
      <c r="D162" s="20"/>
      <c r="E162" s="20"/>
      <c r="F162" s="21"/>
      <c r="G162" s="185"/>
      <c r="H162" s="29"/>
      <c r="I162" s="22"/>
      <c r="J162" s="22"/>
      <c r="K162" s="20"/>
      <c r="L162" s="20"/>
      <c r="M162" s="23"/>
    </row>
    <row r="163" spans="1:13" ht="18" x14ac:dyDescent="0.25">
      <c r="A163" s="31"/>
      <c r="B163" s="20"/>
      <c r="C163" s="20"/>
      <c r="D163" s="20"/>
      <c r="E163" s="74"/>
      <c r="F163" s="68"/>
      <c r="G163" s="68"/>
      <c r="H163" s="69"/>
      <c r="I163" s="68"/>
      <c r="J163" s="69"/>
      <c r="K163" s="70"/>
      <c r="L163" s="70"/>
      <c r="M163" s="23"/>
    </row>
    <row r="164" spans="1:13" ht="18" x14ac:dyDescent="0.25">
      <c r="A164" s="107"/>
      <c r="B164" s="24"/>
      <c r="C164" s="24"/>
      <c r="D164" s="24"/>
      <c r="E164" s="102"/>
      <c r="F164" s="76"/>
      <c r="G164" s="76"/>
      <c r="H164" s="108"/>
      <c r="I164" s="76"/>
      <c r="J164" s="108"/>
      <c r="K164" s="75"/>
      <c r="L164" s="75"/>
      <c r="M164" s="99"/>
    </row>
    <row r="165" spans="1:13" ht="15" x14ac:dyDescent="0.2">
      <c r="A165" s="74"/>
      <c r="B165" s="21"/>
      <c r="C165" s="68"/>
      <c r="D165" s="68"/>
      <c r="E165" s="68"/>
      <c r="F165" s="68"/>
      <c r="G165" s="186"/>
      <c r="H165" s="71"/>
      <c r="I165" s="71"/>
      <c r="J165" s="71"/>
      <c r="K165" s="70"/>
      <c r="L165" s="70"/>
      <c r="M165" s="20"/>
    </row>
    <row r="166" spans="1:13" ht="15" x14ac:dyDescent="0.2">
      <c r="G166" s="186"/>
    </row>
    <row r="167" spans="1:13" ht="15" x14ac:dyDescent="0.2">
      <c r="G167" s="186"/>
    </row>
    <row r="168" spans="1:13" ht="15" x14ac:dyDescent="0.2">
      <c r="G168" s="186"/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6">
    <mergeCell ref="B119:C119"/>
    <mergeCell ref="B108:C108"/>
    <mergeCell ref="B109:C109"/>
    <mergeCell ref="B116:C116"/>
    <mergeCell ref="B117:C117"/>
    <mergeCell ref="B118:C118"/>
  </mergeCells>
  <pageMargins left="0.5" right="0.5" top="0.5" bottom="0.5" header="0.3" footer="0.5"/>
  <pageSetup fitToHeight="0" orientation="landscape" r:id="rId1"/>
  <headerFooter>
    <oddHeader>&amp;C
&amp;ROct.
 2016
 - Page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topLeftCell="A4" zoomScaleNormal="100" workbookViewId="0">
      <selection activeCell="K10" sqref="K10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 t="s">
        <v>276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140</v>
      </c>
      <c r="D7" s="29">
        <v>15</v>
      </c>
      <c r="E7" s="29">
        <v>215</v>
      </c>
      <c r="F7" s="61">
        <v>512</v>
      </c>
      <c r="G7" s="61">
        <v>96</v>
      </c>
      <c r="H7" s="61">
        <v>2</v>
      </c>
      <c r="I7" s="61"/>
      <c r="J7" s="61">
        <v>363</v>
      </c>
      <c r="K7" s="61">
        <v>14</v>
      </c>
      <c r="L7" s="166"/>
      <c r="M7" s="51">
        <f>SUM(C7:L7)</f>
        <v>1357</v>
      </c>
    </row>
    <row r="8" spans="1:18" x14ac:dyDescent="0.2">
      <c r="A8" s="31"/>
      <c r="B8" s="47" t="s">
        <v>146</v>
      </c>
      <c r="C8" s="29">
        <v>18</v>
      </c>
      <c r="D8" s="29">
        <v>0</v>
      </c>
      <c r="E8" s="29">
        <v>23</v>
      </c>
      <c r="F8" s="61">
        <v>54</v>
      </c>
      <c r="G8" s="61">
        <v>16</v>
      </c>
      <c r="H8" s="61"/>
      <c r="I8" s="61">
        <v>1</v>
      </c>
      <c r="J8" s="61">
        <v>53</v>
      </c>
      <c r="K8" s="61">
        <v>1</v>
      </c>
      <c r="L8" s="167">
        <v>9</v>
      </c>
      <c r="M8" s="51">
        <f>SUM(C8:L8)</f>
        <v>175</v>
      </c>
    </row>
    <row r="9" spans="1:18" ht="13.5" thickBot="1" x14ac:dyDescent="0.25">
      <c r="A9" s="31"/>
      <c r="B9" s="47" t="s">
        <v>147</v>
      </c>
      <c r="C9" s="3">
        <v>2</v>
      </c>
      <c r="D9" s="3">
        <v>0</v>
      </c>
      <c r="E9" s="3">
        <v>11</v>
      </c>
      <c r="F9" s="3">
        <v>60</v>
      </c>
      <c r="G9" s="3">
        <v>8</v>
      </c>
      <c r="H9" s="3"/>
      <c r="I9" s="3"/>
      <c r="J9" s="3">
        <v>41</v>
      </c>
      <c r="K9" s="3">
        <v>10</v>
      </c>
      <c r="L9" s="168"/>
      <c r="M9" s="49">
        <f>SUM(C9:K9)</f>
        <v>132</v>
      </c>
    </row>
    <row r="10" spans="1:18" ht="13.5" thickTop="1" x14ac:dyDescent="0.2">
      <c r="A10" s="41"/>
      <c r="B10" s="55" t="s">
        <v>14</v>
      </c>
      <c r="C10" s="38">
        <f t="shared" ref="C10:M10" si="0">SUM(C7:C9)</f>
        <v>160</v>
      </c>
      <c r="D10" s="38">
        <f t="shared" si="0"/>
        <v>15</v>
      </c>
      <c r="E10" s="38">
        <f t="shared" si="0"/>
        <v>249</v>
      </c>
      <c r="F10" s="38">
        <f t="shared" si="0"/>
        <v>626</v>
      </c>
      <c r="G10" s="38">
        <f t="shared" si="0"/>
        <v>120</v>
      </c>
      <c r="H10" s="38">
        <f t="shared" si="0"/>
        <v>2</v>
      </c>
      <c r="I10" s="38">
        <f t="shared" si="0"/>
        <v>1</v>
      </c>
      <c r="J10" s="38">
        <f t="shared" si="0"/>
        <v>457</v>
      </c>
      <c r="K10" s="38">
        <f t="shared" si="0"/>
        <v>25</v>
      </c>
      <c r="L10" s="38">
        <f t="shared" si="0"/>
        <v>9</v>
      </c>
      <c r="M10" s="39">
        <f t="shared" si="0"/>
        <v>1664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3372</v>
      </c>
      <c r="D12" s="123">
        <v>82</v>
      </c>
      <c r="E12" s="122">
        <v>14432</v>
      </c>
      <c r="F12" s="123">
        <v>11883</v>
      </c>
      <c r="G12" s="123">
        <v>9310</v>
      </c>
      <c r="H12" s="123">
        <v>104</v>
      </c>
      <c r="I12" s="123">
        <v>60</v>
      </c>
      <c r="J12" s="123">
        <v>11108</v>
      </c>
      <c r="K12" s="123">
        <v>1896</v>
      </c>
      <c r="L12" s="123"/>
      <c r="M12" s="124">
        <f>SUM(C12:K12)</f>
        <v>52247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70</v>
      </c>
      <c r="D19" s="29">
        <v>1</v>
      </c>
      <c r="E19" s="29">
        <v>110</v>
      </c>
      <c r="F19" s="4">
        <v>191</v>
      </c>
      <c r="G19" s="4">
        <v>83</v>
      </c>
      <c r="H19" s="4">
        <v>1</v>
      </c>
      <c r="I19" s="4">
        <v>5</v>
      </c>
      <c r="J19" s="4">
        <v>65</v>
      </c>
      <c r="K19" s="4">
        <v>43</v>
      </c>
      <c r="L19" s="36">
        <f>SUM(C19:K19)</f>
        <v>569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0</v>
      </c>
      <c r="D21" s="4">
        <v>1</v>
      </c>
      <c r="E21" s="4">
        <v>18</v>
      </c>
      <c r="F21" s="4">
        <v>17</v>
      </c>
      <c r="G21" s="4">
        <v>19</v>
      </c>
      <c r="H21" s="4">
        <v>1</v>
      </c>
      <c r="I21" s="4">
        <v>0</v>
      </c>
      <c r="J21" s="4">
        <v>30</v>
      </c>
      <c r="K21" s="4">
        <v>0</v>
      </c>
      <c r="L21" s="51">
        <f>SUM(C21:K21)</f>
        <v>86</v>
      </c>
    </row>
    <row r="22" spans="1:13" x14ac:dyDescent="0.2">
      <c r="A22" s="31"/>
      <c r="B22" s="29" t="s">
        <v>10</v>
      </c>
      <c r="C22" s="4">
        <v>5</v>
      </c>
      <c r="D22" s="4">
        <v>4</v>
      </c>
      <c r="E22" s="4">
        <v>13</v>
      </c>
      <c r="F22" s="4">
        <v>58</v>
      </c>
      <c r="G22" s="4">
        <v>19</v>
      </c>
      <c r="H22" s="4">
        <v>2</v>
      </c>
      <c r="I22" s="4">
        <v>2</v>
      </c>
      <c r="J22" s="4">
        <v>25</v>
      </c>
      <c r="K22" s="4">
        <v>4</v>
      </c>
      <c r="L22" s="51">
        <f>SUM(C22:K22)</f>
        <v>132</v>
      </c>
    </row>
    <row r="23" spans="1:13" ht="13.5" thickBot="1" x14ac:dyDescent="0.25">
      <c r="A23" s="31"/>
      <c r="B23" s="29" t="s">
        <v>9</v>
      </c>
      <c r="C23" s="3">
        <v>107</v>
      </c>
      <c r="D23" s="3">
        <v>63</v>
      </c>
      <c r="E23" s="3">
        <v>271</v>
      </c>
      <c r="F23" s="3">
        <v>306</v>
      </c>
      <c r="G23" s="3">
        <v>156</v>
      </c>
      <c r="H23" s="3">
        <v>11</v>
      </c>
      <c r="I23" s="3">
        <v>12</v>
      </c>
      <c r="J23" s="3">
        <v>534</v>
      </c>
      <c r="K23" s="3">
        <v>139</v>
      </c>
      <c r="L23" s="49">
        <f>SUM(C23:K23)</f>
        <v>1599</v>
      </c>
    </row>
    <row r="24" spans="1:13" ht="13.5" thickTop="1" x14ac:dyDescent="0.2">
      <c r="A24" s="31"/>
      <c r="B24" s="50" t="s">
        <v>14</v>
      </c>
      <c r="C24" s="29">
        <f>SUM(C19:C23)</f>
        <v>183</v>
      </c>
      <c r="D24" s="29">
        <f t="shared" ref="D24:L24" si="1">SUM(D19:D23)</f>
        <v>69</v>
      </c>
      <c r="E24" s="29">
        <f t="shared" si="1"/>
        <v>413</v>
      </c>
      <c r="F24" s="29">
        <f t="shared" si="1"/>
        <v>572</v>
      </c>
      <c r="G24" s="29">
        <f t="shared" si="1"/>
        <v>278</v>
      </c>
      <c r="H24" s="29">
        <f t="shared" si="1"/>
        <v>15</v>
      </c>
      <c r="I24" s="29">
        <f t="shared" si="1"/>
        <v>19</v>
      </c>
      <c r="J24" s="29">
        <f t="shared" si="1"/>
        <v>654</v>
      </c>
      <c r="K24" s="29">
        <f t="shared" si="1"/>
        <v>191</v>
      </c>
      <c r="L24" s="36">
        <f t="shared" si="1"/>
        <v>2394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248</v>
      </c>
      <c r="M26" s="156" t="s">
        <v>14</v>
      </c>
    </row>
    <row r="27" spans="1:13" x14ac:dyDescent="0.2">
      <c r="A27" s="132" t="s">
        <v>34</v>
      </c>
      <c r="B27" s="139"/>
      <c r="C27" s="73">
        <v>3.15</v>
      </c>
      <c r="D27" s="73">
        <v>0</v>
      </c>
      <c r="E27" s="73">
        <v>1</v>
      </c>
      <c r="F27" s="73">
        <v>79.8</v>
      </c>
      <c r="G27" s="73">
        <v>11.5</v>
      </c>
      <c r="H27" s="73">
        <v>4.5</v>
      </c>
      <c r="I27" s="73">
        <v>0</v>
      </c>
      <c r="J27" s="73">
        <v>23.75</v>
      </c>
      <c r="K27" s="73">
        <v>0</v>
      </c>
      <c r="L27" s="73">
        <v>13</v>
      </c>
      <c r="M27" s="118">
        <f>SUM(C27:L27)</f>
        <v>136.69999999999999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44</v>
      </c>
      <c r="D31" s="29">
        <v>11</v>
      </c>
      <c r="E31" s="29">
        <v>31</v>
      </c>
      <c r="F31" s="4">
        <v>215</v>
      </c>
      <c r="G31" s="4">
        <v>144</v>
      </c>
      <c r="H31" s="4">
        <v>244</v>
      </c>
      <c r="I31" s="4">
        <v>1</v>
      </c>
      <c r="J31" s="4">
        <v>188</v>
      </c>
      <c r="K31" s="4">
        <v>39</v>
      </c>
      <c r="L31" s="51">
        <f t="shared" ref="L31:L36" si="2">SUM(C31:K31)</f>
        <v>917</v>
      </c>
    </row>
    <row r="32" spans="1:13" x14ac:dyDescent="0.2">
      <c r="B32" s="60" t="s">
        <v>18</v>
      </c>
      <c r="C32" s="29">
        <v>24</v>
      </c>
      <c r="D32" s="29">
        <v>3</v>
      </c>
      <c r="E32" s="29">
        <v>57</v>
      </c>
      <c r="F32" s="4">
        <v>54</v>
      </c>
      <c r="G32" s="4">
        <v>15</v>
      </c>
      <c r="H32" s="4">
        <v>4</v>
      </c>
      <c r="I32" s="4">
        <v>2</v>
      </c>
      <c r="J32" s="4">
        <v>29</v>
      </c>
      <c r="K32" s="4">
        <v>8</v>
      </c>
      <c r="L32" s="51">
        <f t="shared" si="2"/>
        <v>196</v>
      </c>
    </row>
    <row r="33" spans="1:12" x14ac:dyDescent="0.2">
      <c r="B33" s="60" t="s">
        <v>20</v>
      </c>
      <c r="C33" s="29">
        <v>172</v>
      </c>
      <c r="D33" s="29">
        <v>229</v>
      </c>
      <c r="E33" s="29">
        <v>571</v>
      </c>
      <c r="F33" s="29">
        <v>331</v>
      </c>
      <c r="G33" s="4">
        <v>374</v>
      </c>
      <c r="H33" s="4">
        <v>3</v>
      </c>
      <c r="I33" s="4">
        <v>0</v>
      </c>
      <c r="J33" s="4">
        <v>411</v>
      </c>
      <c r="K33" s="4">
        <v>271</v>
      </c>
      <c r="L33" s="51">
        <f t="shared" si="2"/>
        <v>2362</v>
      </c>
    </row>
    <row r="34" spans="1:12" x14ac:dyDescent="0.2">
      <c r="B34" s="60" t="s">
        <v>108</v>
      </c>
      <c r="C34" s="4">
        <f>28+67</f>
        <v>95</v>
      </c>
      <c r="D34" s="4">
        <f>51+27</f>
        <v>78</v>
      </c>
      <c r="E34" s="4">
        <f>37+32</f>
        <v>69</v>
      </c>
      <c r="F34" s="4">
        <f>43+29</f>
        <v>72</v>
      </c>
      <c r="G34" s="4">
        <f>35+24</f>
        <v>59</v>
      </c>
      <c r="H34" s="4">
        <f>35+42</f>
        <v>77</v>
      </c>
      <c r="I34" s="4">
        <v>24</v>
      </c>
      <c r="J34">
        <f>33+45</f>
        <v>78</v>
      </c>
      <c r="K34" s="4">
        <f>63+121</f>
        <v>184</v>
      </c>
      <c r="L34" s="51">
        <f t="shared" si="2"/>
        <v>736</v>
      </c>
    </row>
    <row r="35" spans="1:12" ht="13.5" thickBot="1" x14ac:dyDescent="0.25">
      <c r="B35" s="119" t="s">
        <v>19</v>
      </c>
      <c r="C35" s="3">
        <f t="shared" ref="C35:K35" si="3">SUM(C76)</f>
        <v>17</v>
      </c>
      <c r="D35" s="3">
        <f t="shared" si="3"/>
        <v>37</v>
      </c>
      <c r="E35" s="3">
        <f t="shared" si="3"/>
        <v>84</v>
      </c>
      <c r="F35" s="3">
        <f t="shared" si="3"/>
        <v>106</v>
      </c>
      <c r="G35" s="3">
        <f t="shared" si="3"/>
        <v>57</v>
      </c>
      <c r="H35" s="3">
        <f t="shared" si="3"/>
        <v>18</v>
      </c>
      <c r="I35" s="3">
        <f t="shared" si="3"/>
        <v>5</v>
      </c>
      <c r="J35" s="3">
        <f t="shared" si="3"/>
        <v>152</v>
      </c>
      <c r="K35" s="3">
        <f t="shared" si="3"/>
        <v>48</v>
      </c>
      <c r="L35" s="117">
        <f t="shared" si="2"/>
        <v>524</v>
      </c>
    </row>
    <row r="36" spans="1:12" ht="13.5" thickTop="1" x14ac:dyDescent="0.2">
      <c r="B36" s="58" t="s">
        <v>14</v>
      </c>
      <c r="C36" s="38">
        <f t="shared" ref="C36:K36" si="4">SUM(C31:C35)</f>
        <v>352</v>
      </c>
      <c r="D36" s="38">
        <f t="shared" si="4"/>
        <v>358</v>
      </c>
      <c r="E36" s="38">
        <f t="shared" si="4"/>
        <v>812</v>
      </c>
      <c r="F36" s="38">
        <f t="shared" si="4"/>
        <v>778</v>
      </c>
      <c r="G36" s="38">
        <f>SUM(G31:G35)</f>
        <v>649</v>
      </c>
      <c r="H36" s="38">
        <f t="shared" si="4"/>
        <v>346</v>
      </c>
      <c r="I36" s="38">
        <f t="shared" si="4"/>
        <v>32</v>
      </c>
      <c r="J36" s="38">
        <f t="shared" si="4"/>
        <v>858</v>
      </c>
      <c r="K36" s="38">
        <f t="shared" si="4"/>
        <v>550</v>
      </c>
      <c r="L36" s="80">
        <f t="shared" si="2"/>
        <v>4735</v>
      </c>
    </row>
    <row r="38" spans="1:12" x14ac:dyDescent="0.2">
      <c r="A38" s="137" t="s">
        <v>56</v>
      </c>
      <c r="B38" s="138"/>
      <c r="C38" s="33">
        <v>5</v>
      </c>
      <c r="D38" s="33">
        <v>0</v>
      </c>
      <c r="E38" s="33">
        <v>6</v>
      </c>
      <c r="F38" s="56">
        <v>4</v>
      </c>
      <c r="G38" s="56">
        <v>7</v>
      </c>
      <c r="H38" s="56">
        <v>0</v>
      </c>
      <c r="I38" s="56">
        <v>0</v>
      </c>
      <c r="J38" s="56">
        <v>8</v>
      </c>
      <c r="K38" s="56">
        <v>0</v>
      </c>
      <c r="L38" s="120">
        <f>SUM(C38:K38)</f>
        <v>30</v>
      </c>
    </row>
    <row r="39" spans="1:12" x14ac:dyDescent="0.2">
      <c r="A39" s="60" t="s">
        <v>148</v>
      </c>
      <c r="B39" s="50"/>
      <c r="C39" s="29">
        <v>0</v>
      </c>
      <c r="D39" s="29">
        <v>0</v>
      </c>
      <c r="E39" s="29">
        <v>0</v>
      </c>
      <c r="F39" s="106">
        <v>33</v>
      </c>
      <c r="G39" s="106">
        <v>0</v>
      </c>
      <c r="H39" s="106">
        <v>10</v>
      </c>
      <c r="I39" s="106">
        <v>0</v>
      </c>
      <c r="J39" s="106">
        <v>432</v>
      </c>
      <c r="K39" s="106">
        <v>0</v>
      </c>
      <c r="L39" s="121">
        <f>SUM(C39:K39)</f>
        <v>475</v>
      </c>
    </row>
    <row r="40" spans="1:12" x14ac:dyDescent="0.2">
      <c r="A40" s="60"/>
      <c r="B40" s="50" t="s">
        <v>7</v>
      </c>
      <c r="C40" s="29">
        <f>SUM(C38:C39)</f>
        <v>5</v>
      </c>
      <c r="D40" s="29">
        <f t="shared" ref="D40:K40" si="5">SUM(D38:D39)</f>
        <v>0</v>
      </c>
      <c r="E40" s="29">
        <f t="shared" si="5"/>
        <v>6</v>
      </c>
      <c r="F40" s="29">
        <f t="shared" si="5"/>
        <v>37</v>
      </c>
      <c r="G40" s="29">
        <f t="shared" si="5"/>
        <v>7</v>
      </c>
      <c r="H40" s="179">
        <f>SUM(H38:H39)</f>
        <v>10</v>
      </c>
      <c r="I40" s="29">
        <v>0</v>
      </c>
      <c r="J40" s="29">
        <f t="shared" si="5"/>
        <v>440</v>
      </c>
      <c r="K40" s="29">
        <f t="shared" si="5"/>
        <v>0</v>
      </c>
      <c r="L40" s="121">
        <f>SUM(L38:L39)</f>
        <v>505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0</v>
      </c>
      <c r="F42" s="123">
        <v>23</v>
      </c>
      <c r="G42" s="123">
        <v>29</v>
      </c>
      <c r="H42" s="123">
        <v>0</v>
      </c>
      <c r="I42" s="123">
        <v>0</v>
      </c>
      <c r="J42" s="123">
        <v>90</v>
      </c>
      <c r="K42" s="123">
        <v>0</v>
      </c>
      <c r="L42" s="124">
        <f>SUM(C42:K42)</f>
        <v>142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/>
      <c r="D44" s="33"/>
      <c r="E44" s="33"/>
      <c r="F44" s="33"/>
      <c r="G44" s="33"/>
      <c r="H44" s="33"/>
      <c r="I44" s="33"/>
      <c r="J44" s="33">
        <v>3</v>
      </c>
      <c r="K44" s="33"/>
      <c r="L44" s="34">
        <f>SUM(C44:K44)</f>
        <v>3</v>
      </c>
    </row>
    <row r="45" spans="1:12" x14ac:dyDescent="0.2">
      <c r="A45" s="58" t="s">
        <v>21</v>
      </c>
      <c r="B45" s="55"/>
      <c r="C45" s="38"/>
      <c r="D45" s="38"/>
      <c r="E45" s="38"/>
      <c r="F45" s="38"/>
      <c r="G45" s="38"/>
      <c r="H45" s="38"/>
      <c r="I45" s="38"/>
      <c r="J45" s="38">
        <v>29</v>
      </c>
      <c r="K45" s="38"/>
      <c r="L45" s="39">
        <f>SUM(C45:K45)</f>
        <v>29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/>
      <c r="D49" s="122">
        <v>1</v>
      </c>
      <c r="E49" s="122">
        <v>1</v>
      </c>
      <c r="F49" s="129">
        <v>4</v>
      </c>
      <c r="G49" s="129">
        <v>2</v>
      </c>
      <c r="H49" s="129">
        <v>2</v>
      </c>
      <c r="I49" s="129">
        <v>1</v>
      </c>
      <c r="J49" s="129">
        <v>3</v>
      </c>
      <c r="K49" s="129">
        <v>2</v>
      </c>
      <c r="L49" s="130">
        <f t="shared" ref="L49:L75" si="6">SUM(C49:K49)</f>
        <v>16</v>
      </c>
    </row>
    <row r="50" spans="2:12" x14ac:dyDescent="0.2">
      <c r="B50" s="100" t="s">
        <v>113</v>
      </c>
      <c r="C50" s="122">
        <v>2</v>
      </c>
      <c r="D50" s="122"/>
      <c r="E50" s="129"/>
      <c r="F50" s="122">
        <v>9</v>
      </c>
      <c r="G50" s="122">
        <v>1</v>
      </c>
      <c r="H50" s="122"/>
      <c r="I50" s="122"/>
      <c r="J50" s="122">
        <v>12</v>
      </c>
      <c r="K50" s="122">
        <v>2</v>
      </c>
      <c r="L50" s="130">
        <f t="shared" si="6"/>
        <v>26</v>
      </c>
    </row>
    <row r="51" spans="2:12" x14ac:dyDescent="0.2">
      <c r="B51" s="100" t="s">
        <v>103</v>
      </c>
      <c r="C51" s="122">
        <v>2</v>
      </c>
      <c r="D51" s="122"/>
      <c r="E51" s="122">
        <v>22</v>
      </c>
      <c r="F51" s="122"/>
      <c r="G51" s="129"/>
      <c r="H51" s="129"/>
      <c r="I51" s="122"/>
      <c r="J51" s="122">
        <v>10</v>
      </c>
      <c r="K51" s="129"/>
      <c r="L51" s="130">
        <f t="shared" si="6"/>
        <v>34</v>
      </c>
    </row>
    <row r="52" spans="2:12" x14ac:dyDescent="0.2">
      <c r="B52" s="100" t="s">
        <v>137</v>
      </c>
      <c r="C52" s="122"/>
      <c r="D52" s="122">
        <v>4</v>
      </c>
      <c r="E52" s="122"/>
      <c r="F52" s="122"/>
      <c r="G52" s="129">
        <v>7</v>
      </c>
      <c r="H52" s="122"/>
      <c r="I52" s="122"/>
      <c r="J52" s="122"/>
      <c r="K52" s="129">
        <v>15</v>
      </c>
      <c r="L52" s="130">
        <f t="shared" si="6"/>
        <v>26</v>
      </c>
    </row>
    <row r="53" spans="2:12" x14ac:dyDescent="0.2">
      <c r="B53" s="100" t="s">
        <v>149</v>
      </c>
      <c r="C53" s="129">
        <v>2</v>
      </c>
      <c r="D53" s="122">
        <v>3</v>
      </c>
      <c r="E53" s="122">
        <v>1</v>
      </c>
      <c r="F53" s="122"/>
      <c r="G53" s="129">
        <v>1</v>
      </c>
      <c r="H53" s="122"/>
      <c r="I53" s="122">
        <v>3</v>
      </c>
      <c r="J53" s="122">
        <v>1</v>
      </c>
      <c r="K53" s="129">
        <v>1</v>
      </c>
      <c r="L53" s="130">
        <f t="shared" si="6"/>
        <v>12</v>
      </c>
    </row>
    <row r="54" spans="2:12" x14ac:dyDescent="0.2">
      <c r="B54" s="100" t="s">
        <v>104</v>
      </c>
      <c r="C54" s="129"/>
      <c r="D54" s="122"/>
      <c r="E54" s="129">
        <v>2</v>
      </c>
      <c r="F54" s="129"/>
      <c r="G54" s="129"/>
      <c r="H54" s="122"/>
      <c r="I54" s="122"/>
      <c r="J54" s="122">
        <v>1</v>
      </c>
      <c r="K54" s="122"/>
      <c r="L54" s="130">
        <f t="shared" si="6"/>
        <v>3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>
        <v>1</v>
      </c>
      <c r="D56" s="122">
        <v>2</v>
      </c>
      <c r="E56" s="129">
        <v>5</v>
      </c>
      <c r="F56" s="129">
        <v>2</v>
      </c>
      <c r="G56" s="129">
        <v>3</v>
      </c>
      <c r="H56" s="129"/>
      <c r="I56" s="129"/>
      <c r="J56" s="129">
        <v>3</v>
      </c>
      <c r="K56" s="129"/>
      <c r="L56" s="130">
        <f t="shared" si="6"/>
        <v>16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6"/>
        <v>0</v>
      </c>
    </row>
    <row r="58" spans="2:12" x14ac:dyDescent="0.2">
      <c r="B58" s="100" t="s">
        <v>102</v>
      </c>
      <c r="C58" s="122">
        <v>4</v>
      </c>
      <c r="D58" s="122">
        <v>4</v>
      </c>
      <c r="E58" s="129">
        <v>1</v>
      </c>
      <c r="F58" s="129">
        <v>8</v>
      </c>
      <c r="G58" s="129">
        <v>4</v>
      </c>
      <c r="H58" s="129"/>
      <c r="I58" s="122"/>
      <c r="J58" s="122">
        <v>9</v>
      </c>
      <c r="K58" s="129">
        <v>2</v>
      </c>
      <c r="L58" s="130">
        <f t="shared" si="6"/>
        <v>32</v>
      </c>
    </row>
    <row r="59" spans="2:12" x14ac:dyDescent="0.2">
      <c r="B59" s="100" t="s">
        <v>105</v>
      </c>
      <c r="C59" s="122">
        <v>2</v>
      </c>
      <c r="D59" s="122"/>
      <c r="E59" s="129">
        <v>1</v>
      </c>
      <c r="F59" s="129">
        <v>6</v>
      </c>
      <c r="G59" s="129">
        <v>2</v>
      </c>
      <c r="H59" s="129"/>
      <c r="I59" s="122"/>
      <c r="J59" s="122">
        <v>7</v>
      </c>
      <c r="K59" s="129">
        <v>2</v>
      </c>
      <c r="L59" s="130">
        <f t="shared" si="6"/>
        <v>20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6"/>
        <v>0</v>
      </c>
    </row>
    <row r="61" spans="2:12" x14ac:dyDescent="0.2">
      <c r="B61" s="111" t="s">
        <v>41</v>
      </c>
      <c r="C61" s="122">
        <v>1</v>
      </c>
      <c r="D61" s="122">
        <v>11</v>
      </c>
      <c r="E61" s="129">
        <v>5</v>
      </c>
      <c r="F61" s="129">
        <v>11</v>
      </c>
      <c r="G61" s="129">
        <v>7</v>
      </c>
      <c r="H61" s="129">
        <v>5</v>
      </c>
      <c r="I61" s="129"/>
      <c r="J61" s="129">
        <v>27</v>
      </c>
      <c r="K61" s="129">
        <v>3</v>
      </c>
      <c r="L61" s="130">
        <f t="shared" si="6"/>
        <v>70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6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>
        <v>1</v>
      </c>
      <c r="H64" s="129"/>
      <c r="I64" s="129"/>
      <c r="J64" s="129">
        <v>2</v>
      </c>
      <c r="K64" s="129">
        <v>1</v>
      </c>
      <c r="L64" s="130">
        <f t="shared" si="6"/>
        <v>4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>
        <v>5</v>
      </c>
      <c r="I65" s="129"/>
      <c r="J65" s="129"/>
      <c r="K65" s="129"/>
      <c r="L65" s="130">
        <f t="shared" si="6"/>
        <v>5</v>
      </c>
    </row>
    <row r="66" spans="1:13" x14ac:dyDescent="0.2">
      <c r="B66" s="111" t="s">
        <v>80</v>
      </c>
      <c r="C66" s="129">
        <v>3</v>
      </c>
      <c r="D66" s="129">
        <v>5</v>
      </c>
      <c r="E66" s="129">
        <v>20</v>
      </c>
      <c r="F66" s="129">
        <v>49</v>
      </c>
      <c r="G66" s="129">
        <v>14</v>
      </c>
      <c r="H66" s="129">
        <v>2</v>
      </c>
      <c r="I66" s="129">
        <v>1</v>
      </c>
      <c r="J66" s="129">
        <v>51</v>
      </c>
      <c r="K66" s="129">
        <v>12</v>
      </c>
      <c r="L66" s="130">
        <f t="shared" si="6"/>
        <v>157</v>
      </c>
    </row>
    <row r="67" spans="1:13" x14ac:dyDescent="0.2">
      <c r="B67" s="100" t="s">
        <v>151</v>
      </c>
      <c r="C67" s="129"/>
      <c r="D67" s="129"/>
      <c r="E67" s="129">
        <v>4</v>
      </c>
      <c r="F67" s="129"/>
      <c r="G67" s="129"/>
      <c r="H67" s="129"/>
      <c r="I67" s="129"/>
      <c r="J67" s="129"/>
      <c r="K67" s="129"/>
      <c r="L67" s="130">
        <f t="shared" si="6"/>
        <v>4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/>
      <c r="D69" s="122">
        <v>6</v>
      </c>
      <c r="E69" s="129">
        <v>14</v>
      </c>
      <c r="F69" s="129">
        <v>6</v>
      </c>
      <c r="G69" s="129"/>
      <c r="H69" s="129">
        <v>1</v>
      </c>
      <c r="I69" s="129"/>
      <c r="J69" s="129">
        <v>7</v>
      </c>
      <c r="K69" s="129"/>
      <c r="L69" s="130">
        <f t="shared" si="6"/>
        <v>34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6"/>
        <v>0</v>
      </c>
    </row>
    <row r="71" spans="1:13" x14ac:dyDescent="0.2">
      <c r="B71" s="100" t="s">
        <v>43</v>
      </c>
      <c r="C71" s="129"/>
      <c r="D71" s="122">
        <v>1</v>
      </c>
      <c r="E71" s="129">
        <v>4</v>
      </c>
      <c r="F71" s="129">
        <v>3</v>
      </c>
      <c r="G71" s="129">
        <v>6</v>
      </c>
      <c r="H71" s="129">
        <v>3</v>
      </c>
      <c r="I71" s="129"/>
      <c r="J71" s="129">
        <v>8</v>
      </c>
      <c r="K71" s="129">
        <v>2</v>
      </c>
      <c r="L71" s="130">
        <f t="shared" si="6"/>
        <v>27</v>
      </c>
    </row>
    <row r="72" spans="1:13" x14ac:dyDescent="0.2">
      <c r="B72" s="100" t="s">
        <v>42</v>
      </c>
      <c r="C72" s="122"/>
      <c r="D72" s="122"/>
      <c r="E72" s="122">
        <v>4</v>
      </c>
      <c r="F72" s="129">
        <v>5</v>
      </c>
      <c r="G72" s="122">
        <v>4</v>
      </c>
      <c r="H72" s="129"/>
      <c r="I72" s="129"/>
      <c r="J72" s="129">
        <v>8</v>
      </c>
      <c r="K72" s="129">
        <v>6</v>
      </c>
      <c r="L72" s="130">
        <f t="shared" si="6"/>
        <v>27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6"/>
        <v>0</v>
      </c>
    </row>
    <row r="75" spans="1:13" ht="13.5" thickBot="1" x14ac:dyDescent="0.25">
      <c r="B75" s="66" t="s">
        <v>66</v>
      </c>
      <c r="C75" s="3"/>
      <c r="D75" s="3"/>
      <c r="E75" s="3"/>
      <c r="F75" s="3">
        <v>3</v>
      </c>
      <c r="G75" s="3">
        <v>5</v>
      </c>
      <c r="H75" s="3"/>
      <c r="I75" s="3"/>
      <c r="J75" s="3">
        <v>3</v>
      </c>
      <c r="K75" s="3"/>
      <c r="L75" s="176">
        <f t="shared" si="6"/>
        <v>11</v>
      </c>
    </row>
    <row r="76" spans="1:13" ht="13.5" thickTop="1" x14ac:dyDescent="0.2">
      <c r="B76" s="58" t="s">
        <v>7</v>
      </c>
      <c r="C76" s="38">
        <f t="shared" ref="C76:L76" si="7">SUM(C49:C75)</f>
        <v>17</v>
      </c>
      <c r="D76" s="38">
        <f t="shared" si="7"/>
        <v>37</v>
      </c>
      <c r="E76" s="38">
        <f t="shared" si="7"/>
        <v>84</v>
      </c>
      <c r="F76" s="38">
        <f t="shared" si="7"/>
        <v>106</v>
      </c>
      <c r="G76" s="38">
        <f t="shared" si="7"/>
        <v>57</v>
      </c>
      <c r="H76" s="38">
        <f t="shared" si="7"/>
        <v>18</v>
      </c>
      <c r="I76" s="38">
        <f t="shared" si="7"/>
        <v>5</v>
      </c>
      <c r="J76" s="38">
        <f t="shared" si="7"/>
        <v>152</v>
      </c>
      <c r="K76" s="38">
        <f t="shared" si="7"/>
        <v>48</v>
      </c>
      <c r="L76" s="38">
        <f t="shared" si="7"/>
        <v>524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47074</v>
      </c>
      <c r="C82" s="29">
        <f>86+42+23</f>
        <v>151</v>
      </c>
      <c r="D82" s="29">
        <v>1458</v>
      </c>
      <c r="E82" s="4">
        <f>4+43+14+8+79+25+30+67+30+1</f>
        <v>301</v>
      </c>
      <c r="F82" s="4">
        <f>53+3+18+4+1+5+4+5+2+1+33+16+11+4+65+3+4+2+9+3+10+2+6+19+14+4+8+1+15+2+22+7+1+7+3+12+10+9+3+24+5+3+1+2+3</f>
        <v>439</v>
      </c>
      <c r="G82" s="29">
        <v>310</v>
      </c>
      <c r="H82" s="4">
        <f>20+174+2790</f>
        <v>2984</v>
      </c>
      <c r="I82" s="4">
        <v>10</v>
      </c>
      <c r="J82" s="29">
        <f>17</f>
        <v>17</v>
      </c>
      <c r="K82" s="4">
        <v>120</v>
      </c>
      <c r="L82" s="29">
        <v>4544</v>
      </c>
      <c r="M82" s="36">
        <f>SUM(B82:L82)</f>
        <v>57408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241</v>
      </c>
      <c r="L84" s="29"/>
      <c r="M84">
        <v>4372</v>
      </c>
    </row>
    <row r="85" spans="1:13" x14ac:dyDescent="0.2">
      <c r="A85" s="29"/>
      <c r="B85" s="29"/>
      <c r="C85" s="29"/>
      <c r="D85" s="29"/>
      <c r="E85" s="29"/>
      <c r="F85" s="29"/>
      <c r="G85" s="47"/>
      <c r="H85" s="29"/>
      <c r="J85" s="29"/>
      <c r="K85" s="29" t="s">
        <v>242</v>
      </c>
      <c r="L85" s="29"/>
      <c r="M85">
        <v>172</v>
      </c>
    </row>
    <row r="86" spans="1:13" x14ac:dyDescent="0.2">
      <c r="A86" s="137" t="s">
        <v>86</v>
      </c>
      <c r="B86" s="138"/>
      <c r="C86" s="64">
        <v>181</v>
      </c>
      <c r="F86" s="137" t="s">
        <v>48</v>
      </c>
      <c r="G86" s="138"/>
      <c r="H86" s="64">
        <v>148</v>
      </c>
      <c r="J86" s="137" t="s">
        <v>73</v>
      </c>
      <c r="K86" s="142"/>
      <c r="L86" s="142"/>
      <c r="M86" s="34">
        <v>0</v>
      </c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162</v>
      </c>
      <c r="J87" s="140" t="s">
        <v>74</v>
      </c>
      <c r="K87" s="152"/>
      <c r="L87" s="152"/>
      <c r="M87" s="39">
        <v>0</v>
      </c>
    </row>
    <row r="88" spans="1:13" x14ac:dyDescent="0.2">
      <c r="A88" s="140" t="s">
        <v>87</v>
      </c>
      <c r="B88" s="152"/>
      <c r="C88" s="39">
        <v>220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v>3</v>
      </c>
      <c r="D91" s="6"/>
      <c r="E91" s="31" t="s">
        <v>9</v>
      </c>
      <c r="F91" s="29"/>
      <c r="G91" s="36">
        <f>526+120</f>
        <v>646</v>
      </c>
      <c r="I91" s="35" t="s">
        <v>127</v>
      </c>
      <c r="J91" s="29"/>
      <c r="K91" s="29"/>
      <c r="L91" s="36">
        <v>777</v>
      </c>
      <c r="M91" s="6"/>
    </row>
    <row r="92" spans="1:13" x14ac:dyDescent="0.2">
      <c r="A92" s="35" t="s">
        <v>28</v>
      </c>
      <c r="B92" s="29"/>
      <c r="C92" s="36">
        <v>0</v>
      </c>
      <c r="D92" s="6"/>
      <c r="E92" s="31" t="s">
        <v>10</v>
      </c>
      <c r="F92" s="29"/>
      <c r="G92" s="36">
        <f>121+55</f>
        <v>176</v>
      </c>
      <c r="I92" s="35" t="s">
        <v>128</v>
      </c>
      <c r="J92" s="29"/>
      <c r="K92" s="29"/>
      <c r="L92" s="36">
        <v>213</v>
      </c>
      <c r="M92" s="6"/>
    </row>
    <row r="93" spans="1:13" x14ac:dyDescent="0.2">
      <c r="A93" s="35" t="s">
        <v>118</v>
      </c>
      <c r="B93" s="29"/>
      <c r="C93" s="36">
        <v>107</v>
      </c>
      <c r="D93" s="6"/>
      <c r="E93" s="31" t="s">
        <v>11</v>
      </c>
      <c r="F93" s="29"/>
      <c r="G93" s="36">
        <f>22+9</f>
        <v>31</v>
      </c>
      <c r="I93" s="35" t="s">
        <v>45</v>
      </c>
      <c r="J93" s="29"/>
      <c r="K93" s="29"/>
      <c r="L93" s="36">
        <v>27</v>
      </c>
      <c r="M93" s="6"/>
    </row>
    <row r="94" spans="1:13" x14ac:dyDescent="0.2">
      <c r="A94" s="35" t="s">
        <v>119</v>
      </c>
      <c r="B94" s="47"/>
      <c r="C94" s="36">
        <f>724+81+2</f>
        <v>807</v>
      </c>
      <c r="D94" s="6"/>
      <c r="E94" s="31" t="s">
        <v>37</v>
      </c>
      <c r="F94" s="29"/>
      <c r="G94" s="36">
        <f>310+2</f>
        <v>312</v>
      </c>
      <c r="I94" s="35" t="s">
        <v>46</v>
      </c>
      <c r="J94" s="29"/>
      <c r="K94" s="29"/>
      <c r="L94" s="36">
        <v>13</v>
      </c>
      <c r="M94" s="6"/>
    </row>
    <row r="95" spans="1:13" x14ac:dyDescent="0.2">
      <c r="A95" s="35" t="s">
        <v>101</v>
      </c>
      <c r="B95" s="47"/>
      <c r="C95" s="36">
        <f>21+9</f>
        <v>30</v>
      </c>
      <c r="D95" s="6"/>
      <c r="E95" s="41" t="s">
        <v>38</v>
      </c>
      <c r="F95" s="38"/>
      <c r="G95" s="39">
        <v>0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f>24+8</f>
        <v>32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f>103+2</f>
        <v>105</v>
      </c>
    </row>
    <row r="98" spans="1:13" x14ac:dyDescent="0.2">
      <c r="A98" s="35" t="s">
        <v>120</v>
      </c>
      <c r="B98" s="29"/>
      <c r="C98" s="36">
        <v>1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38</v>
      </c>
    </row>
    <row r="100" spans="1:13" x14ac:dyDescent="0.2">
      <c r="A100" s="89" t="s">
        <v>122</v>
      </c>
      <c r="B100" s="47"/>
      <c r="C100" s="36">
        <v>0</v>
      </c>
      <c r="E100" s="35" t="s">
        <v>32</v>
      </c>
      <c r="F100" s="47"/>
      <c r="G100" s="47"/>
      <c r="H100" s="42">
        <v>48</v>
      </c>
    </row>
    <row r="101" spans="1:13" x14ac:dyDescent="0.2">
      <c r="A101" s="89" t="s">
        <v>18</v>
      </c>
      <c r="B101" s="29"/>
      <c r="C101" s="51">
        <v>16</v>
      </c>
      <c r="E101" s="37" t="s">
        <v>47</v>
      </c>
      <c r="F101" s="55"/>
      <c r="G101" s="38"/>
      <c r="H101" s="39">
        <v>0</v>
      </c>
      <c r="I101" s="2"/>
      <c r="J101" s="1"/>
    </row>
    <row r="102" spans="1:13" x14ac:dyDescent="0.2">
      <c r="A102" s="91" t="s">
        <v>20</v>
      </c>
      <c r="B102" s="38"/>
      <c r="C102" s="39">
        <f>2+472+107+120</f>
        <v>701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2"/>
      <c r="J103" s="1"/>
    </row>
    <row r="104" spans="1:13" x14ac:dyDescent="0.2">
      <c r="A104" s="79"/>
      <c r="B104" s="29"/>
      <c r="C104" s="29"/>
      <c r="I104" s="2"/>
      <c r="J104" s="1"/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4194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0</v>
      </c>
      <c r="E108" s="111">
        <v>462</v>
      </c>
      <c r="F108" s="31"/>
      <c r="H108" s="1"/>
      <c r="I108" s="60" t="s">
        <v>133</v>
      </c>
      <c r="J108" s="50"/>
      <c r="L108">
        <v>2344</v>
      </c>
      <c r="M108" s="36"/>
    </row>
    <row r="109" spans="1:13" x14ac:dyDescent="0.2">
      <c r="A109" s="1"/>
      <c r="B109" s="228" t="s">
        <v>97</v>
      </c>
      <c r="C109" s="229"/>
      <c r="D109" s="15">
        <v>1664</v>
      </c>
      <c r="E109" s="157"/>
      <c r="F109" s="31"/>
      <c r="I109" s="60" t="s">
        <v>212</v>
      </c>
      <c r="K109" s="29"/>
      <c r="L109" s="29">
        <v>83</v>
      </c>
      <c r="M109" s="36"/>
    </row>
    <row r="110" spans="1:13" x14ac:dyDescent="0.2">
      <c r="B110" s="194" t="s">
        <v>348</v>
      </c>
      <c r="C110" s="15"/>
      <c r="D110" s="15">
        <v>351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196</v>
      </c>
      <c r="E111" s="112"/>
      <c r="F111" s="160"/>
      <c r="I111" s="60" t="s">
        <v>145</v>
      </c>
      <c r="J111" s="50"/>
      <c r="K111" s="50"/>
      <c r="L111" s="47">
        <v>58</v>
      </c>
      <c r="M111" s="63"/>
    </row>
    <row r="112" spans="1:13" x14ac:dyDescent="0.2">
      <c r="A112" s="1"/>
      <c r="B112" s="232" t="s">
        <v>244</v>
      </c>
      <c r="C112" s="233"/>
      <c r="D112" s="15"/>
      <c r="E112" s="112">
        <v>92</v>
      </c>
      <c r="F112" s="160" t="s">
        <v>245</v>
      </c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851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655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484</v>
      </c>
      <c r="E115" s="115"/>
      <c r="F115" s="161"/>
      <c r="I115" s="87" t="s">
        <v>111</v>
      </c>
      <c r="J115" s="33"/>
      <c r="K115" s="88">
        <v>1129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258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/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0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0</v>
      </c>
      <c r="E120" s="114">
        <v>74</v>
      </c>
      <c r="F120" s="163"/>
      <c r="I120" s="95" t="s">
        <v>22</v>
      </c>
      <c r="J120" s="86"/>
      <c r="K120" s="29">
        <v>4</v>
      </c>
      <c r="L120" s="29">
        <v>1</v>
      </c>
      <c r="M120" s="94">
        <f>SUM(K120:L120)</f>
        <v>5</v>
      </c>
    </row>
    <row r="121" spans="1:13" x14ac:dyDescent="0.2">
      <c r="B121" s="100" t="s">
        <v>144</v>
      </c>
      <c r="D121" s="13">
        <v>2391</v>
      </c>
      <c r="E121" s="111"/>
      <c r="F121" s="31"/>
      <c r="I121" s="171" t="s">
        <v>169</v>
      </c>
      <c r="J121" s="86"/>
      <c r="K121" s="29">
        <v>1</v>
      </c>
      <c r="L121" s="29"/>
      <c r="M121" s="94">
        <f>SUM(K121:L121)</f>
        <v>1</v>
      </c>
    </row>
    <row r="122" spans="1:13" x14ac:dyDescent="0.2">
      <c r="A122" s="1"/>
      <c r="B122" s="32" t="s">
        <v>159</v>
      </c>
      <c r="C122" s="13"/>
      <c r="D122" s="13">
        <v>4393</v>
      </c>
      <c r="E122" s="115"/>
      <c r="F122" s="162"/>
      <c r="I122" s="171" t="s">
        <v>170</v>
      </c>
      <c r="J122" s="86"/>
      <c r="K122" s="29">
        <v>1</v>
      </c>
      <c r="L122" s="29"/>
      <c r="M122" s="94">
        <f>SUM(K122:L122)</f>
        <v>1</v>
      </c>
    </row>
    <row r="123" spans="1:13" x14ac:dyDescent="0.2">
      <c r="A123" s="1"/>
      <c r="B123" s="101" t="s">
        <v>135</v>
      </c>
      <c r="C123" s="13"/>
      <c r="D123" s="13">
        <v>395</v>
      </c>
      <c r="E123" s="158"/>
      <c r="F123" s="162"/>
      <c r="I123" s="172" t="s">
        <v>23</v>
      </c>
      <c r="J123" s="173"/>
      <c r="K123" s="93">
        <v>24</v>
      </c>
      <c r="L123" s="93">
        <v>0</v>
      </c>
      <c r="M123" s="174">
        <f>SUM(K123:L123)</f>
        <v>24</v>
      </c>
    </row>
    <row r="124" spans="1:13" x14ac:dyDescent="0.2">
      <c r="A124" s="1"/>
      <c r="B124" s="101" t="s">
        <v>141</v>
      </c>
      <c r="C124" s="13"/>
      <c r="D124" s="13">
        <v>133</v>
      </c>
      <c r="E124" s="158"/>
      <c r="F124" s="162"/>
      <c r="I124" s="171" t="s">
        <v>146</v>
      </c>
      <c r="J124" s="86"/>
      <c r="K124" s="4">
        <v>1</v>
      </c>
      <c r="L124" s="4"/>
      <c r="M124" s="94">
        <f>SUM(K124:L124)</f>
        <v>1</v>
      </c>
    </row>
    <row r="125" spans="1:13" x14ac:dyDescent="0.2">
      <c r="A125" s="1"/>
      <c r="B125" s="101" t="s">
        <v>126</v>
      </c>
      <c r="C125" s="13"/>
      <c r="D125" s="13">
        <v>358</v>
      </c>
      <c r="E125" s="158"/>
      <c r="F125" s="162"/>
      <c r="I125" s="96" t="s">
        <v>273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/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SUM(D107:D125)</f>
        <v>16065</v>
      </c>
      <c r="E127">
        <f>SUM(E107:E126)</f>
        <v>628</v>
      </c>
      <c r="I127" s="132" t="s">
        <v>106</v>
      </c>
      <c r="J127" s="139"/>
      <c r="K127" s="105">
        <v>0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0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 t="s">
        <v>308</v>
      </c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v>20</v>
      </c>
      <c r="D134" s="29">
        <v>4</v>
      </c>
      <c r="E134" s="29">
        <v>118</v>
      </c>
      <c r="F134" s="4">
        <v>78</v>
      </c>
      <c r="G134" s="4">
        <v>35</v>
      </c>
      <c r="H134" s="4">
        <v>0</v>
      </c>
      <c r="I134" s="4">
        <v>15</v>
      </c>
      <c r="J134" s="4">
        <v>57</v>
      </c>
      <c r="K134" s="4">
        <v>93</v>
      </c>
      <c r="L134" s="51">
        <f>SUM(C134:K134)</f>
        <v>420</v>
      </c>
    </row>
    <row r="135" spans="1:13" x14ac:dyDescent="0.2">
      <c r="A135" s="31"/>
      <c r="B135" s="50" t="s">
        <v>9</v>
      </c>
      <c r="C135" s="169">
        <v>0</v>
      </c>
      <c r="D135" s="169">
        <v>0</v>
      </c>
      <c r="E135" s="169">
        <v>0</v>
      </c>
      <c r="F135" s="170">
        <v>36</v>
      </c>
      <c r="G135" s="170">
        <v>0</v>
      </c>
      <c r="H135" s="170">
        <v>0</v>
      </c>
      <c r="I135" s="170">
        <v>0</v>
      </c>
      <c r="J135" s="170">
        <v>66</v>
      </c>
      <c r="K135" s="170">
        <v>0</v>
      </c>
      <c r="L135" s="51">
        <f>SUM(C135:K135)</f>
        <v>102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0</v>
      </c>
      <c r="E136" s="155">
        <v>0</v>
      </c>
      <c r="F136" s="155">
        <v>0</v>
      </c>
      <c r="G136" s="155">
        <v>0</v>
      </c>
      <c r="H136" s="155">
        <v>0</v>
      </c>
      <c r="I136" s="168" t="s">
        <v>158</v>
      </c>
      <c r="J136" s="155">
        <v>0</v>
      </c>
      <c r="K136" s="155">
        <v>0</v>
      </c>
      <c r="L136" s="131">
        <f>SUM(C136:K136)</f>
        <v>0</v>
      </c>
    </row>
    <row r="137" spans="1:13" ht="13.5" thickTop="1" x14ac:dyDescent="0.2">
      <c r="A137" s="31"/>
      <c r="B137" s="50" t="s">
        <v>14</v>
      </c>
      <c r="C137" s="29">
        <f>SUM(C134:C136)</f>
        <v>20</v>
      </c>
      <c r="D137" s="29">
        <f>SUM(D134:D136)</f>
        <v>4</v>
      </c>
      <c r="E137" s="29">
        <f t="shared" ref="E137:L137" si="8">SUM(E134:E136)</f>
        <v>118</v>
      </c>
      <c r="F137" s="29">
        <f t="shared" si="8"/>
        <v>114</v>
      </c>
      <c r="G137" s="29">
        <f t="shared" si="8"/>
        <v>35</v>
      </c>
      <c r="H137" s="29">
        <f t="shared" si="8"/>
        <v>0</v>
      </c>
      <c r="I137" s="29">
        <f t="shared" si="8"/>
        <v>15</v>
      </c>
      <c r="J137" s="29">
        <f t="shared" si="8"/>
        <v>123</v>
      </c>
      <c r="K137" s="29">
        <f t="shared" si="8"/>
        <v>93</v>
      </c>
      <c r="L137" s="42">
        <f t="shared" si="8"/>
        <v>522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125" t="s">
        <v>301</v>
      </c>
      <c r="B143" s="20"/>
      <c r="C143" s="20"/>
      <c r="D143" s="20"/>
      <c r="E143" s="20"/>
      <c r="F143" s="21"/>
      <c r="G143" s="127" t="s">
        <v>277</v>
      </c>
      <c r="H143" s="22"/>
      <c r="I143" s="68"/>
      <c r="J143" s="69"/>
      <c r="K143" s="70"/>
      <c r="L143" s="70"/>
      <c r="M143" s="103"/>
    </row>
    <row r="144" spans="1:13" x14ac:dyDescent="0.2">
      <c r="A144" s="187" t="s">
        <v>302</v>
      </c>
      <c r="B144" s="188"/>
      <c r="C144" s="20"/>
      <c r="D144" s="20"/>
      <c r="E144" s="20"/>
      <c r="F144" s="68"/>
      <c r="G144" s="127" t="s">
        <v>298</v>
      </c>
      <c r="H144" s="68"/>
      <c r="I144" s="68"/>
      <c r="J144" s="68"/>
      <c r="K144" s="71"/>
      <c r="L144" s="71"/>
      <c r="M144" s="72"/>
    </row>
    <row r="145" spans="1:13" x14ac:dyDescent="0.2">
      <c r="A145" s="31"/>
      <c r="B145" s="29"/>
      <c r="C145" s="20"/>
      <c r="D145" s="20"/>
      <c r="E145" s="20"/>
      <c r="F145" s="21"/>
      <c r="G145" s="29"/>
      <c r="H145" s="68"/>
      <c r="I145" s="68"/>
      <c r="J145" s="68"/>
      <c r="K145" s="71"/>
      <c r="L145" s="71"/>
      <c r="M145" s="72"/>
    </row>
    <row r="146" spans="1:13" x14ac:dyDescent="0.2">
      <c r="A146" s="27" t="s">
        <v>154</v>
      </c>
      <c r="B146" s="20"/>
      <c r="C146" s="29"/>
      <c r="D146" s="29"/>
      <c r="E146" s="29"/>
      <c r="F146" s="29"/>
      <c r="G146" s="28" t="s">
        <v>155</v>
      </c>
      <c r="H146" s="29"/>
      <c r="I146" s="29"/>
      <c r="J146" s="29"/>
      <c r="K146" s="29"/>
      <c r="L146" s="29"/>
      <c r="M146" s="36"/>
    </row>
    <row r="147" spans="1:13" ht="18" x14ac:dyDescent="0.25">
      <c r="A147" s="125" t="s">
        <v>280</v>
      </c>
      <c r="B147" s="29"/>
      <c r="C147" s="29"/>
      <c r="D147" s="20"/>
      <c r="E147" s="20"/>
      <c r="F147" s="68"/>
      <c r="G147" s="127" t="s">
        <v>293</v>
      </c>
      <c r="H147" s="68"/>
      <c r="I147" s="22"/>
      <c r="J147" s="45"/>
      <c r="K147" s="20"/>
      <c r="L147" s="20"/>
      <c r="M147" s="23"/>
    </row>
    <row r="148" spans="1:13" ht="18" x14ac:dyDescent="0.25">
      <c r="A148" s="126" t="s">
        <v>294</v>
      </c>
      <c r="B148" s="74"/>
      <c r="C148" s="29"/>
      <c r="D148" s="20"/>
      <c r="E148" s="20"/>
      <c r="F148" s="68"/>
      <c r="G148" s="178" t="s">
        <v>299</v>
      </c>
      <c r="H148" s="22"/>
      <c r="I148" s="68"/>
      <c r="J148" s="68"/>
      <c r="K148" s="20"/>
      <c r="L148" s="20"/>
      <c r="M148" s="23"/>
    </row>
    <row r="149" spans="1:13" ht="18" x14ac:dyDescent="0.25">
      <c r="A149" s="125" t="s">
        <v>295</v>
      </c>
      <c r="B149" s="20"/>
      <c r="C149" s="29"/>
      <c r="D149" s="20"/>
      <c r="E149" s="20"/>
      <c r="F149" s="20"/>
      <c r="G149" s="29"/>
      <c r="H149" s="22"/>
      <c r="I149" s="22"/>
      <c r="J149" s="22"/>
      <c r="K149" s="22"/>
      <c r="L149" s="20"/>
      <c r="M149" s="23"/>
    </row>
    <row r="150" spans="1:13" x14ac:dyDescent="0.2">
      <c r="A150" s="125" t="s">
        <v>281</v>
      </c>
      <c r="B150" s="74"/>
      <c r="C150" s="29"/>
      <c r="D150" s="20"/>
      <c r="E150" s="28"/>
      <c r="F150" s="77"/>
      <c r="G150" s="28" t="s">
        <v>101</v>
      </c>
      <c r="H150" s="29"/>
      <c r="I150" s="68"/>
      <c r="J150" s="68"/>
      <c r="K150" s="20"/>
      <c r="L150" s="20"/>
      <c r="M150" s="23"/>
    </row>
    <row r="151" spans="1:13" x14ac:dyDescent="0.2">
      <c r="A151" s="126" t="s">
        <v>284</v>
      </c>
      <c r="B151" s="28"/>
      <c r="C151" s="29"/>
      <c r="D151" s="20"/>
      <c r="E151" s="20"/>
      <c r="F151" s="77"/>
      <c r="G151" s="175" t="s">
        <v>282</v>
      </c>
      <c r="H151" s="29"/>
      <c r="I151" s="68"/>
      <c r="J151" s="68"/>
      <c r="K151" s="20"/>
      <c r="L151" s="20"/>
      <c r="M151" s="23"/>
    </row>
    <row r="152" spans="1:13" x14ac:dyDescent="0.2">
      <c r="A152" s="125" t="s">
        <v>285</v>
      </c>
      <c r="B152" s="20"/>
      <c r="C152" s="29"/>
      <c r="D152" s="20"/>
      <c r="E152" s="20"/>
      <c r="F152" s="77"/>
      <c r="G152" s="178" t="s">
        <v>283</v>
      </c>
      <c r="H152" s="29"/>
      <c r="I152" s="29"/>
      <c r="J152" s="29"/>
      <c r="K152" s="20"/>
      <c r="L152" s="20"/>
      <c r="M152" s="23"/>
    </row>
    <row r="153" spans="1:13" ht="18" x14ac:dyDescent="0.25">
      <c r="A153" s="125" t="s">
        <v>303</v>
      </c>
      <c r="B153" s="20"/>
      <c r="C153" s="29"/>
      <c r="D153" s="29"/>
      <c r="E153" s="29"/>
      <c r="F153" s="21"/>
      <c r="G153" s="127" t="s">
        <v>306</v>
      </c>
      <c r="H153" s="29"/>
      <c r="I153" s="22"/>
      <c r="J153" s="22"/>
      <c r="K153" s="20"/>
      <c r="L153" s="20"/>
      <c r="M153" s="23"/>
    </row>
    <row r="154" spans="1:13" x14ac:dyDescent="0.2">
      <c r="A154" s="125"/>
      <c r="B154" s="29"/>
      <c r="C154" s="29"/>
      <c r="D154" s="20"/>
      <c r="E154" s="20"/>
      <c r="F154" s="21"/>
      <c r="H154" s="29"/>
      <c r="I154" s="68"/>
      <c r="J154" s="68"/>
      <c r="K154" s="71"/>
      <c r="L154" s="71"/>
      <c r="M154" s="72"/>
    </row>
    <row r="155" spans="1:13" x14ac:dyDescent="0.2">
      <c r="A155" s="125"/>
      <c r="B155" s="29"/>
      <c r="C155" s="20"/>
      <c r="D155" s="20"/>
      <c r="E155" s="20"/>
      <c r="F155" s="21"/>
      <c r="G155" s="109" t="s">
        <v>156</v>
      </c>
      <c r="H155" s="29"/>
      <c r="I155" s="68"/>
      <c r="J155" s="68"/>
      <c r="K155" s="71"/>
      <c r="L155" s="71"/>
      <c r="M155" s="72"/>
    </row>
    <row r="156" spans="1:13" x14ac:dyDescent="0.2">
      <c r="A156" s="116" t="s">
        <v>157</v>
      </c>
      <c r="B156" s="29"/>
      <c r="C156" s="20"/>
      <c r="D156" s="20"/>
      <c r="E156" s="20"/>
      <c r="F156" s="21"/>
      <c r="G156" s="127" t="s">
        <v>279</v>
      </c>
      <c r="H156" s="29"/>
      <c r="I156" s="68"/>
      <c r="J156" s="68"/>
      <c r="K156" s="71"/>
      <c r="L156" s="71"/>
      <c r="M156" s="72"/>
    </row>
    <row r="157" spans="1:13" ht="18" x14ac:dyDescent="0.25">
      <c r="A157" s="126" t="s">
        <v>278</v>
      </c>
      <c r="B157" s="29"/>
      <c r="C157" s="20"/>
      <c r="D157" s="20"/>
      <c r="E157" s="20"/>
      <c r="F157" s="21"/>
      <c r="G157" s="178" t="s">
        <v>291</v>
      </c>
      <c r="H157" s="29"/>
      <c r="I157" s="22"/>
      <c r="J157" s="22"/>
      <c r="K157" s="71"/>
      <c r="L157" s="71"/>
      <c r="M157" s="72"/>
    </row>
    <row r="158" spans="1:13" x14ac:dyDescent="0.2">
      <c r="A158" s="126" t="s">
        <v>288</v>
      </c>
      <c r="B158" s="20"/>
      <c r="C158" s="29"/>
      <c r="D158" s="29"/>
      <c r="E158" s="29"/>
      <c r="F158" s="29"/>
      <c r="G158" s="178" t="s">
        <v>292</v>
      </c>
      <c r="H158" s="29"/>
      <c r="I158" s="29"/>
      <c r="J158" s="29"/>
      <c r="K158" s="29"/>
      <c r="L158" s="29"/>
      <c r="M158" s="36"/>
    </row>
    <row r="159" spans="1:13" x14ac:dyDescent="0.2">
      <c r="A159" s="125" t="s">
        <v>290</v>
      </c>
      <c r="B159" s="20"/>
      <c r="C159" s="29"/>
      <c r="D159" s="20"/>
      <c r="E159" s="20"/>
      <c r="F159" s="21"/>
      <c r="G159" s="127" t="s">
        <v>300</v>
      </c>
      <c r="H159" s="29"/>
      <c r="I159" s="29"/>
      <c r="J159" s="29"/>
      <c r="K159" s="71"/>
      <c r="L159" s="71"/>
      <c r="M159" s="72"/>
    </row>
    <row r="160" spans="1:13" x14ac:dyDescent="0.2">
      <c r="A160" s="125" t="s">
        <v>297</v>
      </c>
      <c r="B160" s="20"/>
      <c r="C160" s="29"/>
      <c r="D160" s="20"/>
      <c r="E160" s="20"/>
      <c r="F160" s="21"/>
      <c r="G160" s="178" t="s">
        <v>305</v>
      </c>
      <c r="H160" s="29"/>
      <c r="I160" s="68"/>
      <c r="J160" s="68"/>
      <c r="K160" s="71"/>
      <c r="L160" s="71"/>
      <c r="M160" s="72"/>
    </row>
    <row r="161" spans="1:13" x14ac:dyDescent="0.2">
      <c r="A161" s="125" t="s">
        <v>296</v>
      </c>
      <c r="B161" s="28"/>
      <c r="C161" s="29"/>
      <c r="D161" s="20"/>
      <c r="E161" s="74"/>
      <c r="F161" s="20"/>
      <c r="G161" s="178" t="s">
        <v>307</v>
      </c>
      <c r="H161" s="29"/>
      <c r="I161" s="20"/>
      <c r="J161" s="68"/>
      <c r="K161" s="29"/>
      <c r="L161" s="29"/>
      <c r="M161" s="36"/>
    </row>
    <row r="162" spans="1:13" ht="18" x14ac:dyDescent="0.25">
      <c r="A162" s="126" t="s">
        <v>286</v>
      </c>
      <c r="B162" s="28"/>
      <c r="C162" s="29"/>
      <c r="D162" s="20"/>
      <c r="E162" s="20"/>
      <c r="F162" s="21"/>
      <c r="G162" s="178"/>
      <c r="H162" s="29"/>
      <c r="I162" s="22"/>
      <c r="J162" s="22"/>
      <c r="K162" s="20"/>
      <c r="L162" s="20"/>
      <c r="M162" s="23"/>
    </row>
    <row r="163" spans="1:13" ht="18" x14ac:dyDescent="0.25">
      <c r="A163" s="125" t="s">
        <v>287</v>
      </c>
      <c r="B163" s="20"/>
      <c r="C163" s="20"/>
      <c r="D163" s="20"/>
      <c r="E163" s="74"/>
      <c r="F163" s="68"/>
      <c r="G163" s="29"/>
      <c r="H163" s="69"/>
      <c r="I163" s="68"/>
      <c r="J163" s="69"/>
      <c r="K163" s="70"/>
      <c r="L163" s="70"/>
      <c r="M163" s="23"/>
    </row>
    <row r="164" spans="1:13" ht="18" x14ac:dyDescent="0.25">
      <c r="A164" s="125" t="s">
        <v>289</v>
      </c>
      <c r="B164" s="20"/>
      <c r="C164" s="20"/>
      <c r="D164" s="20"/>
      <c r="E164" s="74"/>
      <c r="F164" s="68"/>
      <c r="G164" s="69"/>
      <c r="H164" s="69"/>
      <c r="I164" s="68"/>
      <c r="J164" s="69"/>
      <c r="K164" s="70"/>
      <c r="L164" s="70"/>
      <c r="M164" s="23"/>
    </row>
    <row r="165" spans="1:13" x14ac:dyDescent="0.2">
      <c r="A165" s="126" t="s">
        <v>304</v>
      </c>
      <c r="B165" s="20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3"/>
    </row>
    <row r="166" spans="1:13" x14ac:dyDescent="0.2">
      <c r="A166" s="41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9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19:C119"/>
    <mergeCell ref="B108:C108"/>
    <mergeCell ref="B109:C109"/>
    <mergeCell ref="B112:C112"/>
    <mergeCell ref="B116:C116"/>
    <mergeCell ref="B117:C117"/>
    <mergeCell ref="B118:C118"/>
  </mergeCells>
  <pageMargins left="0.5" right="0.5" top="0.5" bottom="0.5" header="0.3" footer="0.5"/>
  <pageSetup scale="97" fitToHeight="0" orientation="landscape" r:id="rId1"/>
  <headerFooter>
    <oddHeader>&amp;C
&amp;RNov. 2016
 - Page &amp;P</oddHeader>
  </headerFooter>
  <rowBreaks count="1" manualBreakCount="1">
    <brk id="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topLeftCell="A9" zoomScaleNormal="100" workbookViewId="0">
      <selection activeCell="D10" sqref="D10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 t="s">
        <v>309</v>
      </c>
      <c r="H2" s="134"/>
      <c r="I2" s="134"/>
      <c r="J2" s="7"/>
    </row>
    <row r="6" spans="1:18" x14ac:dyDescent="0.2">
      <c r="A6" s="137" t="s">
        <v>15</v>
      </c>
      <c r="B6" s="138"/>
      <c r="C6" s="192" t="s">
        <v>3</v>
      </c>
      <c r="D6" s="192" t="s">
        <v>4</v>
      </c>
      <c r="E6" s="192" t="s">
        <v>0</v>
      </c>
      <c r="F6" s="192" t="s">
        <v>1</v>
      </c>
      <c r="G6" s="192" t="s">
        <v>2</v>
      </c>
      <c r="H6" s="192" t="s">
        <v>5</v>
      </c>
      <c r="I6" s="192" t="s">
        <v>6</v>
      </c>
      <c r="J6" s="192" t="s">
        <v>27</v>
      </c>
      <c r="K6" s="192" t="s">
        <v>39</v>
      </c>
      <c r="L6" s="192" t="s">
        <v>143</v>
      </c>
      <c r="M6" s="62" t="s">
        <v>14</v>
      </c>
    </row>
    <row r="7" spans="1:18" x14ac:dyDescent="0.2">
      <c r="A7" s="31"/>
      <c r="B7" s="29" t="s">
        <v>16</v>
      </c>
      <c r="C7" s="169">
        <v>63</v>
      </c>
      <c r="D7" s="29">
        <v>3</v>
      </c>
      <c r="E7" s="29">
        <v>136</v>
      </c>
      <c r="F7" s="61">
        <v>302</v>
      </c>
      <c r="G7" s="61">
        <v>78</v>
      </c>
      <c r="H7" s="61">
        <v>0</v>
      </c>
      <c r="I7" s="61">
        <v>0</v>
      </c>
      <c r="J7" s="61">
        <v>137</v>
      </c>
      <c r="K7" s="61">
        <v>20</v>
      </c>
      <c r="L7" s="166"/>
      <c r="M7" s="51">
        <f>SUM(C7:L7)</f>
        <v>739</v>
      </c>
    </row>
    <row r="8" spans="1:18" x14ac:dyDescent="0.2">
      <c r="A8" s="31"/>
      <c r="B8" s="47" t="s">
        <v>146</v>
      </c>
      <c r="C8" s="169">
        <v>0</v>
      </c>
      <c r="D8" s="29">
        <v>0</v>
      </c>
      <c r="E8" s="29">
        <v>6</v>
      </c>
      <c r="F8" s="61">
        <v>58</v>
      </c>
      <c r="G8" s="61">
        <v>8</v>
      </c>
      <c r="H8" s="61">
        <v>0</v>
      </c>
      <c r="I8" s="61">
        <v>0</v>
      </c>
      <c r="J8" s="61">
        <v>11</v>
      </c>
      <c r="K8" s="61">
        <v>0</v>
      </c>
      <c r="L8" s="167">
        <v>10</v>
      </c>
      <c r="M8" s="51">
        <f>SUM(C8:L8)</f>
        <v>93</v>
      </c>
    </row>
    <row r="9" spans="1:18" ht="13.5" thickBot="1" x14ac:dyDescent="0.25">
      <c r="A9" s="31"/>
      <c r="B9" s="47" t="s">
        <v>147</v>
      </c>
      <c r="C9" s="191">
        <v>4</v>
      </c>
      <c r="D9" s="3">
        <v>0</v>
      </c>
      <c r="E9" s="3">
        <v>70</v>
      </c>
      <c r="F9" s="3">
        <v>46</v>
      </c>
      <c r="G9" s="3">
        <v>15</v>
      </c>
      <c r="H9" s="3">
        <v>0</v>
      </c>
      <c r="I9" s="3">
        <v>0</v>
      </c>
      <c r="J9" s="3">
        <v>7</v>
      </c>
      <c r="K9" s="3">
        <v>2</v>
      </c>
      <c r="L9" s="168"/>
      <c r="M9" s="51">
        <f>SUM(C9:L9)</f>
        <v>144</v>
      </c>
    </row>
    <row r="10" spans="1:18" ht="13.5" thickTop="1" x14ac:dyDescent="0.2">
      <c r="A10" s="41"/>
      <c r="B10" s="55" t="s">
        <v>14</v>
      </c>
      <c r="C10" s="38">
        <f>SUM(C7:C9)</f>
        <v>67</v>
      </c>
      <c r="D10" s="38">
        <f>SUM(D7:D9)</f>
        <v>3</v>
      </c>
      <c r="E10" s="38">
        <f>SUM(E7:E9)</f>
        <v>212</v>
      </c>
      <c r="F10" s="38">
        <f>SUM(F7:F9)</f>
        <v>406</v>
      </c>
      <c r="G10" s="38">
        <f>SUM(G7:G9)</f>
        <v>101</v>
      </c>
      <c r="H10" s="38">
        <f t="shared" ref="H10:I10" si="0">SUM(H7,H9)</f>
        <v>0</v>
      </c>
      <c r="I10" s="38">
        <f t="shared" si="0"/>
        <v>0</v>
      </c>
      <c r="J10" s="38">
        <f>SUM(J7:J9)</f>
        <v>155</v>
      </c>
      <c r="K10" s="38">
        <f>SUM(K7:K9)</f>
        <v>22</v>
      </c>
      <c r="L10" s="38">
        <f>SUM(L7:L9)</f>
        <v>10</v>
      </c>
      <c r="M10" s="39">
        <f>SUM(C10:L10)</f>
        <v>976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3372</v>
      </c>
      <c r="D12" s="123">
        <v>82</v>
      </c>
      <c r="E12" s="122">
        <v>14438</v>
      </c>
      <c r="F12" s="123">
        <v>11839</v>
      </c>
      <c r="G12" s="123">
        <v>9279</v>
      </c>
      <c r="H12" s="123">
        <v>104</v>
      </c>
      <c r="I12" s="123">
        <v>60</v>
      </c>
      <c r="J12" s="123">
        <v>11103</v>
      </c>
      <c r="K12" s="123">
        <v>1888</v>
      </c>
      <c r="L12" s="123"/>
      <c r="M12" s="124">
        <f>SUM(C12:K12)</f>
        <v>52165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75</v>
      </c>
      <c r="D19" s="29">
        <v>1</v>
      </c>
      <c r="E19" s="29">
        <v>111</v>
      </c>
      <c r="F19" s="4">
        <v>202</v>
      </c>
      <c r="G19" s="4">
        <v>83</v>
      </c>
      <c r="H19" s="4">
        <v>1</v>
      </c>
      <c r="I19" s="4">
        <v>5</v>
      </c>
      <c r="J19" s="4">
        <v>65</v>
      </c>
      <c r="K19" s="4">
        <v>43</v>
      </c>
      <c r="L19" s="36">
        <f>SUM(C19:K19)</f>
        <v>586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0</v>
      </c>
      <c r="D21" s="4">
        <v>1</v>
      </c>
      <c r="E21" s="4">
        <v>18</v>
      </c>
      <c r="F21" s="4">
        <v>17</v>
      </c>
      <c r="G21" s="4">
        <v>19</v>
      </c>
      <c r="H21" s="4">
        <v>1</v>
      </c>
      <c r="I21" s="4">
        <v>0</v>
      </c>
      <c r="J21" s="4">
        <v>30</v>
      </c>
      <c r="K21" s="4">
        <v>0</v>
      </c>
      <c r="L21" s="51">
        <f>SUM(C21:K21)</f>
        <v>86</v>
      </c>
    </row>
    <row r="22" spans="1:13" x14ac:dyDescent="0.2">
      <c r="A22" s="31"/>
      <c r="B22" s="29" t="s">
        <v>10</v>
      </c>
      <c r="C22" s="4">
        <v>5</v>
      </c>
      <c r="D22" s="4">
        <v>4</v>
      </c>
      <c r="E22" s="4">
        <v>13</v>
      </c>
      <c r="F22" s="4">
        <v>58</v>
      </c>
      <c r="G22" s="4">
        <v>20</v>
      </c>
      <c r="H22" s="4">
        <v>2</v>
      </c>
      <c r="I22" s="4">
        <v>2</v>
      </c>
      <c r="J22" s="4">
        <v>25</v>
      </c>
      <c r="K22" s="4">
        <v>4</v>
      </c>
      <c r="L22" s="51">
        <f>SUM(C22:K22)</f>
        <v>133</v>
      </c>
    </row>
    <row r="23" spans="1:13" ht="13.5" thickBot="1" x14ac:dyDescent="0.25">
      <c r="A23" s="31"/>
      <c r="B23" s="29" t="s">
        <v>9</v>
      </c>
      <c r="C23" s="3">
        <v>109</v>
      </c>
      <c r="D23" s="3">
        <v>64</v>
      </c>
      <c r="E23" s="3">
        <v>273</v>
      </c>
      <c r="F23" s="3">
        <v>307</v>
      </c>
      <c r="G23" s="3">
        <v>158</v>
      </c>
      <c r="H23" s="3">
        <v>11</v>
      </c>
      <c r="I23" s="3">
        <v>12</v>
      </c>
      <c r="J23" s="3">
        <v>556</v>
      </c>
      <c r="K23" s="3">
        <v>142</v>
      </c>
      <c r="L23" s="49">
        <f>SUM(C23:K23)</f>
        <v>1632</v>
      </c>
    </row>
    <row r="24" spans="1:13" ht="13.5" thickTop="1" x14ac:dyDescent="0.2">
      <c r="A24" s="31"/>
      <c r="B24" s="50" t="s">
        <v>14</v>
      </c>
      <c r="C24" s="29">
        <f>SUM(C19:C23)</f>
        <v>190</v>
      </c>
      <c r="D24" s="29">
        <f t="shared" ref="D24:L24" si="1">SUM(D19:D23)</f>
        <v>70</v>
      </c>
      <c r="E24" s="29">
        <f t="shared" si="1"/>
        <v>416</v>
      </c>
      <c r="F24" s="29">
        <f t="shared" si="1"/>
        <v>584</v>
      </c>
      <c r="G24" s="29">
        <f t="shared" si="1"/>
        <v>281</v>
      </c>
      <c r="H24" s="29">
        <f t="shared" si="1"/>
        <v>15</v>
      </c>
      <c r="I24" s="29">
        <f t="shared" si="1"/>
        <v>19</v>
      </c>
      <c r="J24" s="29">
        <f t="shared" si="1"/>
        <v>676</v>
      </c>
      <c r="K24" s="29">
        <f t="shared" si="1"/>
        <v>194</v>
      </c>
      <c r="L24" s="36">
        <f t="shared" si="1"/>
        <v>2445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132</v>
      </c>
      <c r="M26" s="156" t="s">
        <v>14</v>
      </c>
    </row>
    <row r="27" spans="1:13" x14ac:dyDescent="0.2">
      <c r="A27" s="132" t="s">
        <v>34</v>
      </c>
      <c r="B27" s="139"/>
      <c r="C27" s="73">
        <v>2</v>
      </c>
      <c r="D27" s="73">
        <v>0</v>
      </c>
      <c r="E27" s="73">
        <v>48</v>
      </c>
      <c r="F27" s="73">
        <v>20.5</v>
      </c>
      <c r="G27" s="73">
        <v>4</v>
      </c>
      <c r="H27" s="73">
        <v>0</v>
      </c>
      <c r="I27" s="73">
        <v>0</v>
      </c>
      <c r="J27" s="73">
        <v>91.45</v>
      </c>
      <c r="K27" s="73">
        <v>72.900000000000006</v>
      </c>
      <c r="L27" s="73"/>
      <c r="M27" s="118">
        <f>SUM(C27:L27)</f>
        <v>238.85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31</v>
      </c>
      <c r="D31" s="29">
        <v>8</v>
      </c>
      <c r="E31" s="29">
        <v>39</v>
      </c>
      <c r="F31" s="4">
        <v>185</v>
      </c>
      <c r="G31" s="4">
        <v>102</v>
      </c>
      <c r="H31" s="4">
        <v>224</v>
      </c>
      <c r="I31" s="4">
        <v>8</v>
      </c>
      <c r="J31" s="4">
        <v>176</v>
      </c>
      <c r="K31" s="4">
        <v>51</v>
      </c>
      <c r="L31" s="51">
        <f t="shared" ref="L31:L36" si="2">SUM(C31:K31)</f>
        <v>824</v>
      </c>
    </row>
    <row r="32" spans="1:13" x14ac:dyDescent="0.2">
      <c r="B32" s="60" t="s">
        <v>18</v>
      </c>
      <c r="C32" s="29">
        <v>14</v>
      </c>
      <c r="D32" s="29">
        <v>4</v>
      </c>
      <c r="E32" s="29">
        <v>18</v>
      </c>
      <c r="F32" s="4">
        <v>25</v>
      </c>
      <c r="G32" s="4">
        <v>10</v>
      </c>
      <c r="H32" s="4">
        <v>4</v>
      </c>
      <c r="I32" s="4">
        <v>1</v>
      </c>
      <c r="J32" s="4">
        <v>16</v>
      </c>
      <c r="K32" s="4">
        <v>29</v>
      </c>
      <c r="L32" s="51">
        <f t="shared" si="2"/>
        <v>121</v>
      </c>
    </row>
    <row r="33" spans="1:12" x14ac:dyDescent="0.2">
      <c r="B33" s="60" t="s">
        <v>20</v>
      </c>
      <c r="C33" s="29">
        <v>136</v>
      </c>
      <c r="D33" s="29">
        <v>40</v>
      </c>
      <c r="E33" s="29">
        <v>299</v>
      </c>
      <c r="F33" s="29">
        <v>216</v>
      </c>
      <c r="G33" s="4">
        <v>152</v>
      </c>
      <c r="H33" s="4">
        <v>3</v>
      </c>
      <c r="I33" s="4">
        <v>0</v>
      </c>
      <c r="J33" s="4">
        <v>255</v>
      </c>
      <c r="K33" s="4">
        <v>258</v>
      </c>
      <c r="L33" s="51">
        <f t="shared" si="2"/>
        <v>1359</v>
      </c>
    </row>
    <row r="34" spans="1:12" x14ac:dyDescent="0.2">
      <c r="B34" s="60" t="s">
        <v>108</v>
      </c>
      <c r="C34" s="4">
        <v>80</v>
      </c>
      <c r="D34" s="4">
        <f>15+33</f>
        <v>48</v>
      </c>
      <c r="E34" s="4">
        <f>12+36</f>
        <v>48</v>
      </c>
      <c r="F34" s="4">
        <f>20+38</f>
        <v>58</v>
      </c>
      <c r="G34" s="4">
        <f>13+38</f>
        <v>51</v>
      </c>
      <c r="H34" s="4">
        <f>18+60</f>
        <v>78</v>
      </c>
      <c r="I34" s="4">
        <f>18</f>
        <v>18</v>
      </c>
      <c r="J34">
        <f>14+79</f>
        <v>93</v>
      </c>
      <c r="K34" s="4">
        <f>17+116</f>
        <v>133</v>
      </c>
      <c r="L34" s="51">
        <f t="shared" si="2"/>
        <v>607</v>
      </c>
    </row>
    <row r="35" spans="1:12" ht="13.5" thickBot="1" x14ac:dyDescent="0.25">
      <c r="B35" s="119" t="s">
        <v>19</v>
      </c>
      <c r="C35" s="3">
        <f>SUM(C76)</f>
        <v>13</v>
      </c>
      <c r="D35" s="3">
        <f t="shared" ref="D35:K35" si="3">SUM(D76)</f>
        <v>30</v>
      </c>
      <c r="E35" s="3">
        <f t="shared" si="3"/>
        <v>63</v>
      </c>
      <c r="F35" s="3">
        <f t="shared" si="3"/>
        <v>120</v>
      </c>
      <c r="G35" s="3">
        <f t="shared" si="3"/>
        <v>79</v>
      </c>
      <c r="H35" s="3">
        <f t="shared" si="3"/>
        <v>38</v>
      </c>
      <c r="I35" s="3">
        <f t="shared" si="3"/>
        <v>9</v>
      </c>
      <c r="J35" s="3">
        <f t="shared" si="3"/>
        <v>186</v>
      </c>
      <c r="K35" s="3">
        <f t="shared" si="3"/>
        <v>60</v>
      </c>
      <c r="L35" s="117">
        <f t="shared" si="2"/>
        <v>598</v>
      </c>
    </row>
    <row r="36" spans="1:12" ht="13.5" thickTop="1" x14ac:dyDescent="0.2">
      <c r="B36" s="58" t="s">
        <v>14</v>
      </c>
      <c r="C36" s="38">
        <f t="shared" ref="C36:K36" si="4">SUM(C31:C35)</f>
        <v>274</v>
      </c>
      <c r="D36" s="38">
        <f t="shared" si="4"/>
        <v>130</v>
      </c>
      <c r="E36" s="38">
        <f t="shared" si="4"/>
        <v>467</v>
      </c>
      <c r="F36" s="38">
        <f t="shared" si="4"/>
        <v>604</v>
      </c>
      <c r="G36" s="38">
        <f>SUM(G31:G35)</f>
        <v>394</v>
      </c>
      <c r="H36" s="38">
        <f t="shared" si="4"/>
        <v>347</v>
      </c>
      <c r="I36" s="38">
        <f t="shared" si="4"/>
        <v>36</v>
      </c>
      <c r="J36" s="38">
        <f t="shared" si="4"/>
        <v>726</v>
      </c>
      <c r="K36" s="38">
        <f t="shared" si="4"/>
        <v>531</v>
      </c>
      <c r="L36" s="80">
        <f t="shared" si="2"/>
        <v>3509</v>
      </c>
    </row>
    <row r="38" spans="1:12" x14ac:dyDescent="0.2">
      <c r="A38" s="137" t="s">
        <v>56</v>
      </c>
      <c r="B38" s="138"/>
      <c r="C38" s="33">
        <v>5</v>
      </c>
      <c r="D38" s="33">
        <v>0</v>
      </c>
      <c r="E38" s="33">
        <v>49</v>
      </c>
      <c r="F38" s="56">
        <v>12</v>
      </c>
      <c r="G38" s="56">
        <v>2</v>
      </c>
      <c r="H38" s="56">
        <v>0</v>
      </c>
      <c r="I38" s="56">
        <v>0</v>
      </c>
      <c r="J38" s="56">
        <v>10</v>
      </c>
      <c r="K38" s="56">
        <v>0</v>
      </c>
      <c r="L38" s="120">
        <f>SUM(C38:K38)</f>
        <v>78</v>
      </c>
    </row>
    <row r="39" spans="1:12" x14ac:dyDescent="0.2">
      <c r="A39" s="60" t="s">
        <v>148</v>
      </c>
      <c r="B39" s="50"/>
      <c r="C39" s="29">
        <v>0</v>
      </c>
      <c r="D39" s="29">
        <v>0</v>
      </c>
      <c r="E39" s="29">
        <v>0</v>
      </c>
      <c r="F39" s="106">
        <v>18</v>
      </c>
      <c r="G39" s="106">
        <v>0</v>
      </c>
      <c r="H39" s="106">
        <v>6</v>
      </c>
      <c r="I39" s="106">
        <v>0</v>
      </c>
      <c r="J39" s="106">
        <v>116</v>
      </c>
      <c r="K39" s="106">
        <v>0</v>
      </c>
      <c r="L39" s="121">
        <f>SUM(C39:K39)</f>
        <v>140</v>
      </c>
    </row>
    <row r="40" spans="1:12" x14ac:dyDescent="0.2">
      <c r="A40" s="60"/>
      <c r="B40" s="50" t="s">
        <v>7</v>
      </c>
      <c r="C40" s="29">
        <f>SUM(C38:C39)</f>
        <v>5</v>
      </c>
      <c r="D40" s="29">
        <f t="shared" ref="D40:K40" si="5">SUM(D38:D39)</f>
        <v>0</v>
      </c>
      <c r="E40" s="29">
        <f t="shared" si="5"/>
        <v>49</v>
      </c>
      <c r="F40" s="29">
        <f t="shared" si="5"/>
        <v>30</v>
      </c>
      <c r="G40" s="29">
        <f t="shared" si="5"/>
        <v>2</v>
      </c>
      <c r="H40" s="179">
        <f>SUM(H38:H39)</f>
        <v>6</v>
      </c>
      <c r="I40" s="29">
        <f t="shared" si="5"/>
        <v>0</v>
      </c>
      <c r="J40" s="29">
        <f t="shared" si="5"/>
        <v>126</v>
      </c>
      <c r="K40" s="29">
        <f t="shared" si="5"/>
        <v>0</v>
      </c>
      <c r="L40" s="121">
        <f>SUM(L38:L39)</f>
        <v>218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0</v>
      </c>
      <c r="F42" s="123">
        <v>7</v>
      </c>
      <c r="G42" s="123">
        <v>1</v>
      </c>
      <c r="H42" s="123">
        <v>0</v>
      </c>
      <c r="I42" s="123">
        <v>0</v>
      </c>
      <c r="J42" s="123">
        <v>79</v>
      </c>
      <c r="K42" s="123">
        <v>0</v>
      </c>
      <c r="L42" s="124">
        <f>SUM(C42:K42)</f>
        <v>87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0</v>
      </c>
      <c r="F44" s="33">
        <v>1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4">
        <f>SUM(C44:K44)</f>
        <v>1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0</v>
      </c>
      <c r="F45" s="38">
        <v>16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f>SUM(C45:K45)</f>
        <v>16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>
        <v>2</v>
      </c>
      <c r="D49" s="122">
        <v>1</v>
      </c>
      <c r="E49" s="122">
        <v>2</v>
      </c>
      <c r="F49" s="129">
        <v>8</v>
      </c>
      <c r="G49" s="129">
        <v>4</v>
      </c>
      <c r="H49" s="129">
        <v>2</v>
      </c>
      <c r="I49" s="129">
        <v>1</v>
      </c>
      <c r="J49" s="129">
        <v>15</v>
      </c>
      <c r="K49" s="129">
        <v>1</v>
      </c>
      <c r="L49" s="130">
        <f t="shared" ref="L49:L75" si="6">SUM(C49:K49)</f>
        <v>36</v>
      </c>
    </row>
    <row r="50" spans="2:12" x14ac:dyDescent="0.2">
      <c r="B50" s="100" t="s">
        <v>113</v>
      </c>
      <c r="C50" s="122">
        <v>1</v>
      </c>
      <c r="D50" s="122"/>
      <c r="E50" s="129"/>
      <c r="F50" s="122"/>
      <c r="G50" s="122"/>
      <c r="H50" s="122"/>
      <c r="I50" s="122"/>
      <c r="J50" s="122"/>
      <c r="K50" s="122"/>
      <c r="L50" s="130">
        <f t="shared" si="6"/>
        <v>1</v>
      </c>
    </row>
    <row r="51" spans="2:12" x14ac:dyDescent="0.2">
      <c r="B51" s="100" t="s">
        <v>103</v>
      </c>
      <c r="C51" s="122">
        <v>1</v>
      </c>
      <c r="D51" s="122"/>
      <c r="E51" s="122">
        <v>3</v>
      </c>
      <c r="F51" s="122">
        <v>3</v>
      </c>
      <c r="G51" s="129"/>
      <c r="H51" s="129">
        <v>1</v>
      </c>
      <c r="I51" s="122"/>
      <c r="J51" s="122">
        <v>4</v>
      </c>
      <c r="K51" s="129">
        <v>1</v>
      </c>
      <c r="L51" s="130">
        <f t="shared" si="6"/>
        <v>13</v>
      </c>
    </row>
    <row r="52" spans="2:12" x14ac:dyDescent="0.2">
      <c r="B52" s="100" t="s">
        <v>137</v>
      </c>
      <c r="C52" s="122"/>
      <c r="D52" s="122">
        <v>1</v>
      </c>
      <c r="E52" s="122"/>
      <c r="F52" s="122"/>
      <c r="G52" s="129">
        <v>2</v>
      </c>
      <c r="H52" s="122"/>
      <c r="I52" s="122"/>
      <c r="J52" s="122"/>
      <c r="K52" s="129">
        <v>20</v>
      </c>
      <c r="L52" s="130">
        <f t="shared" si="6"/>
        <v>23</v>
      </c>
    </row>
    <row r="53" spans="2:12" x14ac:dyDescent="0.2">
      <c r="B53" s="100" t="s">
        <v>149</v>
      </c>
      <c r="C53" s="129">
        <v>2</v>
      </c>
      <c r="D53" s="122"/>
      <c r="E53" s="122"/>
      <c r="F53" s="122">
        <v>2</v>
      </c>
      <c r="G53" s="129">
        <v>2</v>
      </c>
      <c r="H53" s="122">
        <v>2</v>
      </c>
      <c r="I53" s="122"/>
      <c r="J53" s="122">
        <v>4</v>
      </c>
      <c r="K53" s="129">
        <v>6</v>
      </c>
      <c r="L53" s="130">
        <f t="shared" si="6"/>
        <v>18</v>
      </c>
    </row>
    <row r="54" spans="2:12" x14ac:dyDescent="0.2">
      <c r="B54" s="100" t="s">
        <v>104</v>
      </c>
      <c r="C54" s="129"/>
      <c r="D54" s="122"/>
      <c r="E54" s="129"/>
      <c r="F54" s="129">
        <v>2</v>
      </c>
      <c r="G54" s="129"/>
      <c r="H54" s="122"/>
      <c r="I54" s="122"/>
      <c r="J54" s="122">
        <v>1</v>
      </c>
      <c r="K54" s="122"/>
      <c r="L54" s="130">
        <f t="shared" si="6"/>
        <v>3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/>
      <c r="D56" s="122">
        <v>1</v>
      </c>
      <c r="E56" s="129">
        <v>1</v>
      </c>
      <c r="F56" s="129"/>
      <c r="G56" s="129"/>
      <c r="H56" s="129"/>
      <c r="I56" s="129">
        <v>1</v>
      </c>
      <c r="J56" s="129"/>
      <c r="K56" s="129"/>
      <c r="L56" s="130">
        <f t="shared" si="6"/>
        <v>3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6"/>
        <v>0</v>
      </c>
    </row>
    <row r="58" spans="2:12" x14ac:dyDescent="0.2">
      <c r="B58" s="100" t="s">
        <v>102</v>
      </c>
      <c r="C58" s="122"/>
      <c r="D58" s="122"/>
      <c r="E58" s="129">
        <v>5</v>
      </c>
      <c r="F58" s="129">
        <v>4</v>
      </c>
      <c r="G58" s="129">
        <v>6</v>
      </c>
      <c r="H58" s="129"/>
      <c r="I58" s="122"/>
      <c r="J58" s="122">
        <v>8</v>
      </c>
      <c r="K58" s="129">
        <v>4</v>
      </c>
      <c r="L58" s="130">
        <f t="shared" si="6"/>
        <v>27</v>
      </c>
    </row>
    <row r="59" spans="2:12" x14ac:dyDescent="0.2">
      <c r="B59" s="100" t="s">
        <v>105</v>
      </c>
      <c r="C59" s="122"/>
      <c r="D59" s="122"/>
      <c r="E59" s="129">
        <v>1</v>
      </c>
      <c r="F59" s="129">
        <v>6</v>
      </c>
      <c r="G59" s="129"/>
      <c r="H59" s="129"/>
      <c r="I59" s="122">
        <v>1</v>
      </c>
      <c r="J59" s="122">
        <v>6</v>
      </c>
      <c r="K59" s="129"/>
      <c r="L59" s="130">
        <f t="shared" si="6"/>
        <v>14</v>
      </c>
    </row>
    <row r="60" spans="2:12" x14ac:dyDescent="0.2">
      <c r="B60" s="100" t="s">
        <v>90</v>
      </c>
      <c r="C60" s="122"/>
      <c r="D60" s="122"/>
      <c r="E60" s="122">
        <v>3</v>
      </c>
      <c r="F60" s="122">
        <v>14</v>
      </c>
      <c r="G60" s="129">
        <v>8</v>
      </c>
      <c r="H60" s="129"/>
      <c r="I60" s="122"/>
      <c r="J60" s="122">
        <v>24</v>
      </c>
      <c r="K60" s="129">
        <v>3</v>
      </c>
      <c r="L60" s="130">
        <f t="shared" si="6"/>
        <v>52</v>
      </c>
    </row>
    <row r="61" spans="2:12" x14ac:dyDescent="0.2">
      <c r="B61" s="111" t="s">
        <v>41</v>
      </c>
      <c r="C61" s="122">
        <v>4</v>
      </c>
      <c r="D61" s="122">
        <v>15</v>
      </c>
      <c r="E61" s="129">
        <v>8</v>
      </c>
      <c r="F61" s="129">
        <v>20</v>
      </c>
      <c r="G61" s="129">
        <v>20</v>
      </c>
      <c r="H61" s="129">
        <v>9</v>
      </c>
      <c r="I61" s="129"/>
      <c r="J61" s="129">
        <v>34</v>
      </c>
      <c r="K61" s="129">
        <v>1</v>
      </c>
      <c r="L61" s="130">
        <f t="shared" si="6"/>
        <v>111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6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>
        <v>1</v>
      </c>
      <c r="H64" s="129"/>
      <c r="I64" s="129"/>
      <c r="J64" s="129">
        <v>1</v>
      </c>
      <c r="K64" s="129">
        <v>1</v>
      </c>
      <c r="L64" s="130">
        <f t="shared" si="6"/>
        <v>3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>
        <v>4</v>
      </c>
      <c r="I65" s="129"/>
      <c r="J65" s="129"/>
      <c r="K65" s="129"/>
      <c r="L65" s="130">
        <f t="shared" si="6"/>
        <v>4</v>
      </c>
    </row>
    <row r="66" spans="1:13" x14ac:dyDescent="0.2">
      <c r="B66" s="111" t="s">
        <v>80</v>
      </c>
      <c r="C66" s="129">
        <v>3</v>
      </c>
      <c r="D66" s="129">
        <v>10</v>
      </c>
      <c r="E66" s="129">
        <v>24</v>
      </c>
      <c r="F66" s="129">
        <v>44</v>
      </c>
      <c r="G66" s="129">
        <v>26</v>
      </c>
      <c r="H66" s="129">
        <v>17</v>
      </c>
      <c r="I66" s="129">
        <v>2</v>
      </c>
      <c r="J66" s="129">
        <v>60</v>
      </c>
      <c r="K66" s="129">
        <v>15</v>
      </c>
      <c r="L66" s="130">
        <f t="shared" si="6"/>
        <v>201</v>
      </c>
    </row>
    <row r="67" spans="1:13" x14ac:dyDescent="0.2">
      <c r="B67" s="100" t="s">
        <v>151</v>
      </c>
      <c r="C67" s="129"/>
      <c r="D67" s="129"/>
      <c r="E67" s="129">
        <v>1</v>
      </c>
      <c r="F67" s="129"/>
      <c r="G67" s="129"/>
      <c r="H67" s="129"/>
      <c r="I67" s="129"/>
      <c r="J67" s="129"/>
      <c r="K67" s="129"/>
      <c r="L67" s="130">
        <f t="shared" si="6"/>
        <v>1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/>
      <c r="D69" s="122"/>
      <c r="E69" s="129">
        <v>3</v>
      </c>
      <c r="F69" s="129"/>
      <c r="G69" s="129"/>
      <c r="H69" s="129"/>
      <c r="I69" s="129"/>
      <c r="J69" s="129"/>
      <c r="K69" s="129"/>
      <c r="L69" s="130">
        <f t="shared" si="6"/>
        <v>3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6"/>
        <v>0</v>
      </c>
    </row>
    <row r="71" spans="1:13" x14ac:dyDescent="0.2">
      <c r="B71" s="100" t="s">
        <v>43</v>
      </c>
      <c r="C71" s="129"/>
      <c r="D71" s="122">
        <v>2</v>
      </c>
      <c r="E71" s="129">
        <v>12</v>
      </c>
      <c r="F71" s="129">
        <v>12</v>
      </c>
      <c r="G71" s="129">
        <v>6</v>
      </c>
      <c r="H71" s="129">
        <v>2</v>
      </c>
      <c r="I71" s="129">
        <v>3</v>
      </c>
      <c r="J71" s="129">
        <v>12</v>
      </c>
      <c r="K71" s="129">
        <v>7</v>
      </c>
      <c r="L71" s="130">
        <f t="shared" si="6"/>
        <v>56</v>
      </c>
    </row>
    <row r="72" spans="1:13" x14ac:dyDescent="0.2">
      <c r="B72" s="100" t="s">
        <v>42</v>
      </c>
      <c r="C72" s="122"/>
      <c r="D72" s="122"/>
      <c r="E72" s="122"/>
      <c r="F72" s="129">
        <v>2</v>
      </c>
      <c r="G72" s="122">
        <v>1</v>
      </c>
      <c r="H72" s="129">
        <v>1</v>
      </c>
      <c r="I72" s="129">
        <v>1</v>
      </c>
      <c r="J72" s="129">
        <v>3</v>
      </c>
      <c r="K72" s="129">
        <v>1</v>
      </c>
      <c r="L72" s="130">
        <f t="shared" si="6"/>
        <v>9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6"/>
        <v>0</v>
      </c>
    </row>
    <row r="75" spans="1:13" ht="13.5" thickBot="1" x14ac:dyDescent="0.25">
      <c r="B75" s="66" t="s">
        <v>66</v>
      </c>
      <c r="C75" s="3"/>
      <c r="D75" s="3"/>
      <c r="E75" s="3"/>
      <c r="F75" s="3">
        <v>3</v>
      </c>
      <c r="G75" s="3">
        <v>3</v>
      </c>
      <c r="H75" s="3"/>
      <c r="I75" s="3"/>
      <c r="J75" s="3">
        <v>14</v>
      </c>
      <c r="K75" s="3"/>
      <c r="L75" s="176">
        <f t="shared" si="6"/>
        <v>20</v>
      </c>
    </row>
    <row r="76" spans="1:13" ht="13.5" thickTop="1" x14ac:dyDescent="0.2">
      <c r="B76" s="58" t="s">
        <v>7</v>
      </c>
      <c r="C76" s="38">
        <f t="shared" ref="C76:L76" si="7">SUM(C49:C75)</f>
        <v>13</v>
      </c>
      <c r="D76" s="38">
        <f t="shared" si="7"/>
        <v>30</v>
      </c>
      <c r="E76" s="38">
        <f t="shared" si="7"/>
        <v>63</v>
      </c>
      <c r="F76" s="38">
        <f t="shared" si="7"/>
        <v>120</v>
      </c>
      <c r="G76" s="38">
        <f t="shared" si="7"/>
        <v>79</v>
      </c>
      <c r="H76" s="38">
        <f t="shared" si="7"/>
        <v>38</v>
      </c>
      <c r="I76" s="38">
        <f t="shared" si="7"/>
        <v>9</v>
      </c>
      <c r="J76" s="38">
        <f t="shared" si="7"/>
        <v>186</v>
      </c>
      <c r="K76" s="38">
        <f t="shared" si="7"/>
        <v>60</v>
      </c>
      <c r="L76" s="38">
        <f t="shared" si="7"/>
        <v>598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47005</v>
      </c>
      <c r="C82" s="29">
        <f>86+42+23</f>
        <v>151</v>
      </c>
      <c r="D82" s="29">
        <v>1458</v>
      </c>
      <c r="E82" s="4">
        <v>301</v>
      </c>
      <c r="F82" s="4">
        <v>430</v>
      </c>
      <c r="G82" s="29">
        <v>279</v>
      </c>
      <c r="H82" s="4">
        <f>20+174+2823</f>
        <v>3017</v>
      </c>
      <c r="I82" s="4">
        <v>9</v>
      </c>
      <c r="J82" s="29">
        <v>17</v>
      </c>
      <c r="K82" s="4">
        <v>120</v>
      </c>
      <c r="L82" s="29">
        <f>4373+172</f>
        <v>4545</v>
      </c>
      <c r="M82" s="36">
        <f>SUM(B82:L82)</f>
        <v>57332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323</v>
      </c>
      <c r="L84" s="29"/>
    </row>
    <row r="85" spans="1:13" x14ac:dyDescent="0.2">
      <c r="A85" s="29"/>
      <c r="B85" s="29"/>
      <c r="C85" s="29"/>
      <c r="D85" s="29"/>
      <c r="E85" s="29"/>
      <c r="F85" s="29"/>
      <c r="G85" s="47"/>
      <c r="H85" s="29"/>
      <c r="J85" s="29"/>
      <c r="K85" s="29" t="s">
        <v>214</v>
      </c>
      <c r="L85" s="29"/>
    </row>
    <row r="86" spans="1:13" x14ac:dyDescent="0.2">
      <c r="A86" s="137" t="s">
        <v>86</v>
      </c>
      <c r="B86" s="138"/>
      <c r="C86" s="64">
        <v>52</v>
      </c>
      <c r="F86" s="137" t="s">
        <v>48</v>
      </c>
      <c r="G86" s="138"/>
      <c r="H86" s="64">
        <v>11</v>
      </c>
      <c r="J86" s="137" t="s">
        <v>73</v>
      </c>
      <c r="K86" s="142"/>
      <c r="L86" s="142"/>
      <c r="M86" s="34">
        <v>0</v>
      </c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12</v>
      </c>
      <c r="J87" s="140" t="s">
        <v>74</v>
      </c>
      <c r="K87" s="152"/>
      <c r="L87" s="152"/>
      <c r="M87" s="39">
        <v>14</v>
      </c>
    </row>
    <row r="88" spans="1:13" x14ac:dyDescent="0.2">
      <c r="A88" s="140" t="s">
        <v>87</v>
      </c>
      <c r="B88" s="152"/>
      <c r="C88" s="39">
        <v>71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f>10+0</f>
        <v>10</v>
      </c>
      <c r="D91" s="6"/>
      <c r="E91" s="31" t="s">
        <v>9</v>
      </c>
      <c r="F91" s="29"/>
      <c r="G91" s="36">
        <f>155+33</f>
        <v>188</v>
      </c>
      <c r="I91" s="35" t="s">
        <v>127</v>
      </c>
      <c r="J91" s="29"/>
      <c r="K91" s="29"/>
      <c r="L91" s="36">
        <v>561</v>
      </c>
      <c r="M91" s="6"/>
    </row>
    <row r="92" spans="1:13" x14ac:dyDescent="0.2">
      <c r="A92" s="35" t="s">
        <v>28</v>
      </c>
      <c r="B92" s="29"/>
      <c r="C92" s="36">
        <v>6</v>
      </c>
      <c r="D92" s="6"/>
      <c r="E92" s="31" t="s">
        <v>10</v>
      </c>
      <c r="F92" s="29"/>
      <c r="G92" s="36">
        <f>103+55</f>
        <v>158</v>
      </c>
      <c r="I92" s="35" t="s">
        <v>128</v>
      </c>
      <c r="J92" s="29"/>
      <c r="K92" s="29"/>
      <c r="L92" s="36">
        <v>83</v>
      </c>
      <c r="M92" s="6"/>
    </row>
    <row r="93" spans="1:13" x14ac:dyDescent="0.2">
      <c r="A93" s="35" t="s">
        <v>118</v>
      </c>
      <c r="B93" s="29"/>
      <c r="C93" s="36">
        <f>42+2+3</f>
        <v>47</v>
      </c>
      <c r="D93" s="6"/>
      <c r="E93" s="31" t="s">
        <v>11</v>
      </c>
      <c r="F93" s="29"/>
      <c r="G93" s="36">
        <v>6</v>
      </c>
      <c r="I93" s="35" t="s">
        <v>45</v>
      </c>
      <c r="J93" s="29"/>
      <c r="K93" s="29"/>
      <c r="L93" s="36">
        <v>24</v>
      </c>
      <c r="M93" s="6"/>
    </row>
    <row r="94" spans="1:13" x14ac:dyDescent="0.2">
      <c r="A94" s="35" t="s">
        <v>119</v>
      </c>
      <c r="B94" s="47"/>
      <c r="C94" s="36">
        <f>360+22+12</f>
        <v>394</v>
      </c>
      <c r="D94" s="6"/>
      <c r="E94" s="31" t="s">
        <v>37</v>
      </c>
      <c r="F94" s="29"/>
      <c r="G94" s="36">
        <f>265+1</f>
        <v>266</v>
      </c>
      <c r="I94" s="35" t="s">
        <v>46</v>
      </c>
      <c r="J94" s="29"/>
      <c r="K94" s="29"/>
      <c r="L94" s="36">
        <v>13</v>
      </c>
      <c r="M94" s="6"/>
    </row>
    <row r="95" spans="1:13" x14ac:dyDescent="0.2">
      <c r="A95" s="35" t="s">
        <v>101</v>
      </c>
      <c r="B95" s="47"/>
      <c r="C95" s="36">
        <f>18+3+9+1+47</f>
        <v>78</v>
      </c>
      <c r="D95" s="6"/>
      <c r="E95" s="41" t="s">
        <v>38</v>
      </c>
      <c r="F95" s="38"/>
      <c r="G95" s="39">
        <v>0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f>11</f>
        <v>11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f>55+17+4</f>
        <v>76</v>
      </c>
    </row>
    <row r="98" spans="1:13" x14ac:dyDescent="0.2">
      <c r="A98" s="35" t="s">
        <v>120</v>
      </c>
      <c r="B98" s="29"/>
      <c r="C98" s="36">
        <v>2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17</v>
      </c>
    </row>
    <row r="100" spans="1:13" x14ac:dyDescent="0.2">
      <c r="A100" s="89" t="s">
        <v>122</v>
      </c>
      <c r="B100" s="47"/>
      <c r="C100" s="36">
        <v>0</v>
      </c>
      <c r="E100" s="35" t="s">
        <v>32</v>
      </c>
      <c r="F100" s="47"/>
      <c r="G100" s="47"/>
      <c r="H100" s="42">
        <v>10</v>
      </c>
    </row>
    <row r="101" spans="1:13" x14ac:dyDescent="0.2">
      <c r="A101" s="89" t="s">
        <v>18</v>
      </c>
      <c r="B101" s="29"/>
      <c r="C101" s="51">
        <v>0</v>
      </c>
      <c r="E101" s="37" t="s">
        <v>47</v>
      </c>
      <c r="F101" s="55"/>
      <c r="G101" s="38"/>
      <c r="H101" s="39">
        <v>0</v>
      </c>
      <c r="I101" s="2"/>
      <c r="J101" s="1"/>
    </row>
    <row r="102" spans="1:13" x14ac:dyDescent="0.2">
      <c r="A102" s="91" t="s">
        <v>20</v>
      </c>
      <c r="B102" s="38"/>
      <c r="C102" s="39">
        <f>1+287+65+55</f>
        <v>408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2"/>
      <c r="J103" s="1"/>
    </row>
    <row r="104" spans="1:13" x14ac:dyDescent="0.2">
      <c r="A104" s="79"/>
      <c r="B104" s="29"/>
      <c r="C104" s="29"/>
      <c r="I104" s="2"/>
      <c r="J104" s="1"/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346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599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0</v>
      </c>
      <c r="E108" s="111">
        <v>136</v>
      </c>
      <c r="F108" s="31"/>
      <c r="H108" s="1"/>
      <c r="I108" s="60" t="s">
        <v>133</v>
      </c>
      <c r="J108" s="50"/>
      <c r="L108">
        <v>715</v>
      </c>
      <c r="M108" s="36"/>
    </row>
    <row r="109" spans="1:13" x14ac:dyDescent="0.2">
      <c r="A109" s="1"/>
      <c r="B109" s="228" t="s">
        <v>97</v>
      </c>
      <c r="C109" s="229"/>
      <c r="D109" s="15">
        <v>516</v>
      </c>
      <c r="E109" s="157"/>
      <c r="F109" s="31"/>
      <c r="I109" s="60" t="s">
        <v>212</v>
      </c>
      <c r="K109" s="29"/>
      <c r="L109" s="29">
        <v>21</v>
      </c>
      <c r="M109" s="36"/>
    </row>
    <row r="110" spans="1:13" x14ac:dyDescent="0.2">
      <c r="B110" s="194" t="s">
        <v>348</v>
      </c>
      <c r="C110" s="15"/>
      <c r="D110" s="15">
        <v>78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53</v>
      </c>
      <c r="E111" s="112"/>
      <c r="F111" s="160"/>
      <c r="I111" s="60" t="s">
        <v>145</v>
      </c>
      <c r="J111" s="50"/>
      <c r="K111" s="50"/>
      <c r="L111" s="47">
        <v>16</v>
      </c>
      <c r="M111" s="63"/>
    </row>
    <row r="112" spans="1:13" x14ac:dyDescent="0.2">
      <c r="A112" s="1"/>
      <c r="B112" s="232" t="s">
        <v>244</v>
      </c>
      <c r="C112" s="233"/>
      <c r="D112" s="15"/>
      <c r="E112" s="112">
        <v>40</v>
      </c>
      <c r="F112" s="160" t="s">
        <v>245</v>
      </c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43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8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5</v>
      </c>
      <c r="E115" s="115"/>
      <c r="F115" s="161"/>
      <c r="I115" s="87" t="s">
        <v>111</v>
      </c>
      <c r="J115" s="33"/>
      <c r="K115" s="88">
        <v>1019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78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/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0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0</v>
      </c>
      <c r="E120" s="114">
        <v>81</v>
      </c>
      <c r="F120" s="163"/>
      <c r="I120" s="95" t="s">
        <v>22</v>
      </c>
      <c r="J120" s="86"/>
      <c r="K120" s="29">
        <v>1</v>
      </c>
      <c r="L120" s="29">
        <v>0</v>
      </c>
      <c r="M120" s="94">
        <f>SUM(K120:L120)</f>
        <v>1</v>
      </c>
    </row>
    <row r="121" spans="1:13" x14ac:dyDescent="0.2">
      <c r="B121" s="100" t="s">
        <v>144</v>
      </c>
      <c r="D121" s="13">
        <v>473</v>
      </c>
      <c r="E121" s="111"/>
      <c r="F121" s="31"/>
      <c r="I121" s="171" t="s">
        <v>169</v>
      </c>
      <c r="J121" s="86"/>
      <c r="K121" s="29">
        <v>0</v>
      </c>
      <c r="L121" s="29">
        <v>0</v>
      </c>
      <c r="M121" s="94">
        <f>SUM(K121:L121)</f>
        <v>0</v>
      </c>
    </row>
    <row r="122" spans="1:13" x14ac:dyDescent="0.2">
      <c r="A122" s="1"/>
      <c r="B122" s="32" t="s">
        <v>159</v>
      </c>
      <c r="C122" s="13"/>
      <c r="D122" s="13">
        <v>1943</v>
      </c>
      <c r="E122" s="115"/>
      <c r="F122" s="162"/>
      <c r="I122" s="171" t="s">
        <v>170</v>
      </c>
      <c r="J122" s="86"/>
      <c r="K122" s="29">
        <v>0</v>
      </c>
      <c r="L122" s="29">
        <v>0</v>
      </c>
      <c r="M122" s="94">
        <f>SUM(K122:L122)</f>
        <v>0</v>
      </c>
    </row>
    <row r="123" spans="1:13" x14ac:dyDescent="0.2">
      <c r="A123" s="1"/>
      <c r="B123" s="101" t="s">
        <v>135</v>
      </c>
      <c r="C123" s="13"/>
      <c r="D123" s="13">
        <v>13</v>
      </c>
      <c r="E123" s="158"/>
      <c r="F123" s="162"/>
      <c r="I123" s="172" t="s">
        <v>23</v>
      </c>
      <c r="J123" s="173"/>
      <c r="K123" s="93">
        <v>13</v>
      </c>
      <c r="L123" s="93">
        <v>0</v>
      </c>
      <c r="M123" s="174">
        <f>SUM(K123:L123)</f>
        <v>13</v>
      </c>
    </row>
    <row r="124" spans="1:13" x14ac:dyDescent="0.2">
      <c r="A124" s="1"/>
      <c r="B124" s="101" t="s">
        <v>141</v>
      </c>
      <c r="C124" s="13"/>
      <c r="D124" s="13">
        <v>45</v>
      </c>
      <c r="E124" s="158"/>
      <c r="F124" s="162"/>
      <c r="I124" s="171" t="s">
        <v>146</v>
      </c>
      <c r="J124" s="86"/>
      <c r="K124" s="4">
        <v>2</v>
      </c>
      <c r="L124" s="4">
        <v>0</v>
      </c>
      <c r="M124" s="94">
        <f>SUM(K124:L124)</f>
        <v>2</v>
      </c>
    </row>
    <row r="125" spans="1:13" x14ac:dyDescent="0.2">
      <c r="A125" s="1"/>
      <c r="B125" s="101" t="s">
        <v>126</v>
      </c>
      <c r="C125" s="13"/>
      <c r="D125" s="13">
        <v>17</v>
      </c>
      <c r="E125" s="158"/>
      <c r="F125" s="162"/>
      <c r="I125" s="96" t="s">
        <v>273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/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SUM(D107:D125)</f>
        <v>3793</v>
      </c>
      <c r="E127">
        <f>SUM(E107:E126)</f>
        <v>257</v>
      </c>
      <c r="I127" s="132" t="s">
        <v>106</v>
      </c>
      <c r="J127" s="139"/>
      <c r="K127" s="105">
        <v>0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2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v>67</v>
      </c>
      <c r="D134" s="29">
        <v>39</v>
      </c>
      <c r="E134" s="29">
        <v>406</v>
      </c>
      <c r="F134" s="4">
        <v>294</v>
      </c>
      <c r="G134" s="4">
        <v>109</v>
      </c>
      <c r="H134" s="4">
        <v>1</v>
      </c>
      <c r="I134" s="4">
        <v>23</v>
      </c>
      <c r="J134" s="4">
        <v>147</v>
      </c>
      <c r="K134" s="4">
        <v>270</v>
      </c>
      <c r="L134" s="51">
        <f>SUM(C134:K134)</f>
        <v>1356</v>
      </c>
    </row>
    <row r="135" spans="1:13" x14ac:dyDescent="0.2">
      <c r="A135" s="31"/>
      <c r="B135" s="50" t="s">
        <v>9</v>
      </c>
      <c r="C135" s="189" t="s">
        <v>158</v>
      </c>
      <c r="D135" s="189" t="s">
        <v>158</v>
      </c>
      <c r="E135" s="189" t="s">
        <v>158</v>
      </c>
      <c r="F135" s="170">
        <v>74</v>
      </c>
      <c r="G135" s="166" t="s">
        <v>158</v>
      </c>
      <c r="H135" s="166" t="s">
        <v>158</v>
      </c>
      <c r="I135" s="166" t="s">
        <v>158</v>
      </c>
      <c r="J135" s="170">
        <v>107</v>
      </c>
      <c r="K135" s="166" t="s">
        <v>158</v>
      </c>
      <c r="L135" s="51">
        <f>SUM(C135:K135)</f>
        <v>181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2</v>
      </c>
      <c r="E136" s="155">
        <v>1</v>
      </c>
      <c r="F136" s="155">
        <v>3</v>
      </c>
      <c r="G136" s="155">
        <v>0</v>
      </c>
      <c r="H136" s="155">
        <v>0</v>
      </c>
      <c r="I136" s="168" t="s">
        <v>158</v>
      </c>
      <c r="J136" s="155">
        <v>3</v>
      </c>
      <c r="K136" s="155">
        <v>0</v>
      </c>
      <c r="L136" s="131">
        <f>SUM(C136:K136)</f>
        <v>9</v>
      </c>
    </row>
    <row r="137" spans="1:13" ht="13.5" thickTop="1" x14ac:dyDescent="0.2">
      <c r="A137" s="31"/>
      <c r="B137" s="50" t="s">
        <v>14</v>
      </c>
      <c r="C137" s="29">
        <f>SUM(C134:C136)</f>
        <v>67</v>
      </c>
      <c r="D137" s="29">
        <f>SUM(D134:D136)</f>
        <v>41</v>
      </c>
      <c r="E137" s="29">
        <f t="shared" ref="E137:L137" si="8">SUM(E134:E136)</f>
        <v>407</v>
      </c>
      <c r="F137" s="29">
        <f t="shared" si="8"/>
        <v>371</v>
      </c>
      <c r="G137" s="29">
        <f t="shared" si="8"/>
        <v>109</v>
      </c>
      <c r="H137" s="29">
        <f t="shared" si="8"/>
        <v>1</v>
      </c>
      <c r="I137" s="29">
        <f t="shared" si="8"/>
        <v>23</v>
      </c>
      <c r="J137" s="29">
        <f t="shared" si="8"/>
        <v>257</v>
      </c>
      <c r="K137" s="29">
        <f t="shared" si="8"/>
        <v>270</v>
      </c>
      <c r="L137" s="42">
        <f t="shared" si="8"/>
        <v>1546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46"/>
      <c r="B143" s="20"/>
      <c r="C143" s="20"/>
      <c r="D143" s="20"/>
      <c r="E143" s="20"/>
      <c r="F143" s="21"/>
      <c r="G143" s="127"/>
      <c r="H143" s="22"/>
      <c r="I143" s="68"/>
      <c r="J143" s="69"/>
      <c r="K143" s="70"/>
      <c r="L143" s="70"/>
      <c r="M143" s="103"/>
    </row>
    <row r="144" spans="1:13" ht="18" x14ac:dyDescent="0.25">
      <c r="A144" s="46"/>
      <c r="B144" s="20"/>
      <c r="C144" s="20"/>
      <c r="D144" s="20"/>
      <c r="E144" s="20"/>
      <c r="F144" s="68"/>
      <c r="G144" s="69"/>
      <c r="H144" s="68"/>
      <c r="I144" s="68"/>
      <c r="J144" s="68"/>
      <c r="K144" s="71"/>
      <c r="L144" s="71"/>
      <c r="M144" s="72"/>
    </row>
    <row r="145" spans="1:13" x14ac:dyDescent="0.2">
      <c r="A145" s="27" t="s">
        <v>154</v>
      </c>
      <c r="B145" s="20"/>
      <c r="C145" s="20"/>
      <c r="D145" s="20"/>
      <c r="E145" s="20"/>
      <c r="F145" s="21"/>
      <c r="G145" s="28" t="s">
        <v>155</v>
      </c>
      <c r="H145" s="68"/>
      <c r="I145" s="68"/>
      <c r="J145" s="68"/>
      <c r="K145" s="71"/>
      <c r="L145" s="71"/>
      <c r="M145" s="72"/>
    </row>
    <row r="146" spans="1:13" x14ac:dyDescent="0.2">
      <c r="A146" s="125" t="s">
        <v>321</v>
      </c>
      <c r="B146" s="29"/>
      <c r="C146" s="29"/>
      <c r="D146" s="29"/>
      <c r="E146" s="29"/>
      <c r="F146" s="29"/>
      <c r="G146" s="127"/>
      <c r="H146" s="29"/>
      <c r="I146" s="29"/>
      <c r="J146" s="29"/>
      <c r="K146" s="29"/>
      <c r="L146" s="29"/>
      <c r="M146" s="36"/>
    </row>
    <row r="147" spans="1:13" ht="18" x14ac:dyDescent="0.25">
      <c r="A147" s="126" t="s">
        <v>318</v>
      </c>
      <c r="B147" s="74"/>
      <c r="C147" s="20"/>
      <c r="D147" s="20"/>
      <c r="E147" s="20"/>
      <c r="F147" s="68"/>
      <c r="H147" s="28" t="s">
        <v>101</v>
      </c>
      <c r="I147" s="22"/>
      <c r="J147" s="45"/>
      <c r="K147" s="20"/>
      <c r="L147" s="20"/>
      <c r="M147" s="23"/>
    </row>
    <row r="148" spans="1:13" x14ac:dyDescent="0.2">
      <c r="A148" s="125" t="s">
        <v>319</v>
      </c>
      <c r="B148" s="20"/>
      <c r="C148" s="20"/>
      <c r="D148" s="20"/>
      <c r="E148" s="20"/>
      <c r="F148" s="68"/>
      <c r="H148" s="178" t="s">
        <v>313</v>
      </c>
      <c r="I148" s="68"/>
      <c r="J148" s="68"/>
      <c r="K148" s="20"/>
      <c r="L148" s="20"/>
      <c r="M148" s="23"/>
    </row>
    <row r="149" spans="1:13" ht="18" x14ac:dyDescent="0.25">
      <c r="A149" s="190" t="s">
        <v>320</v>
      </c>
      <c r="B149" s="74"/>
      <c r="C149" s="20"/>
      <c r="D149" s="20"/>
      <c r="E149" s="20"/>
      <c r="F149" s="20"/>
      <c r="H149" s="22"/>
      <c r="I149" s="22"/>
      <c r="J149" s="22"/>
      <c r="K149" s="22"/>
      <c r="L149" s="20"/>
      <c r="M149" s="23"/>
    </row>
    <row r="150" spans="1:13" x14ac:dyDescent="0.2">
      <c r="A150" s="126" t="s">
        <v>316</v>
      </c>
      <c r="B150" s="28"/>
      <c r="C150" s="28"/>
      <c r="D150" s="20"/>
      <c r="E150" s="28"/>
      <c r="F150" s="77"/>
      <c r="G150" s="175"/>
      <c r="H150" s="29"/>
      <c r="I150" s="68"/>
      <c r="J150" s="68"/>
      <c r="K150" s="20"/>
      <c r="L150" s="20"/>
      <c r="M150" s="23"/>
    </row>
    <row r="151" spans="1:13" x14ac:dyDescent="0.2">
      <c r="A151" s="125" t="s">
        <v>317</v>
      </c>
      <c r="B151" s="20"/>
      <c r="C151" s="20"/>
      <c r="D151" s="20"/>
      <c r="E151" s="20"/>
      <c r="F151" s="77"/>
      <c r="G151" s="127"/>
      <c r="H151" s="109" t="s">
        <v>156</v>
      </c>
      <c r="I151" s="68"/>
      <c r="J151" s="68"/>
      <c r="K151" s="20"/>
      <c r="L151" s="20"/>
      <c r="M151" s="23"/>
    </row>
    <row r="152" spans="1:13" x14ac:dyDescent="0.2">
      <c r="A152" s="125" t="s">
        <v>326</v>
      </c>
      <c r="B152" s="20"/>
      <c r="C152" s="20"/>
      <c r="D152" s="20"/>
      <c r="E152" s="20"/>
      <c r="F152" s="77"/>
      <c r="H152" s="127" t="s">
        <v>310</v>
      </c>
      <c r="K152" s="20"/>
      <c r="L152" s="20"/>
      <c r="M152" s="23"/>
    </row>
    <row r="153" spans="1:13" ht="18" x14ac:dyDescent="0.25">
      <c r="A153" s="46"/>
      <c r="B153" s="29"/>
      <c r="C153" s="29"/>
      <c r="D153" s="29"/>
      <c r="E153" s="29"/>
      <c r="F153" s="21"/>
      <c r="H153" s="127" t="s">
        <v>311</v>
      </c>
      <c r="I153" s="22"/>
      <c r="J153" s="22"/>
      <c r="K153" s="20"/>
      <c r="L153" s="20"/>
      <c r="M153" s="23"/>
    </row>
    <row r="154" spans="1:13" x14ac:dyDescent="0.2">
      <c r="A154" s="116" t="s">
        <v>157</v>
      </c>
      <c r="B154" s="20"/>
      <c r="C154" s="20"/>
      <c r="D154" s="20"/>
      <c r="E154" s="20"/>
      <c r="F154" s="21"/>
      <c r="H154" s="178" t="s">
        <v>314</v>
      </c>
      <c r="I154" s="68"/>
      <c r="J154" s="68"/>
      <c r="K154" s="71"/>
      <c r="L154" s="71"/>
      <c r="M154" s="72"/>
    </row>
    <row r="155" spans="1:13" x14ac:dyDescent="0.2">
      <c r="A155" s="126" t="s">
        <v>322</v>
      </c>
      <c r="B155" s="20"/>
      <c r="C155" s="20"/>
      <c r="D155" s="20"/>
      <c r="E155" s="20"/>
      <c r="F155" s="21"/>
      <c r="H155" s="178" t="s">
        <v>315</v>
      </c>
      <c r="I155" s="68"/>
      <c r="J155" s="68"/>
      <c r="K155" s="71"/>
      <c r="L155" s="71"/>
      <c r="M155" s="72"/>
    </row>
    <row r="156" spans="1:13" x14ac:dyDescent="0.2">
      <c r="A156" s="126" t="s">
        <v>312</v>
      </c>
      <c r="B156" s="20"/>
      <c r="C156" s="20"/>
      <c r="D156" s="20"/>
      <c r="E156" s="20"/>
      <c r="F156" s="21"/>
      <c r="H156" s="178" t="s">
        <v>324</v>
      </c>
      <c r="I156" s="68"/>
      <c r="J156" s="68"/>
      <c r="K156" s="71"/>
      <c r="L156" s="71"/>
      <c r="M156" s="72"/>
    </row>
    <row r="157" spans="1:13" ht="18" x14ac:dyDescent="0.25">
      <c r="A157" s="125" t="s">
        <v>325</v>
      </c>
      <c r="B157" s="20"/>
      <c r="C157" s="20"/>
      <c r="D157" s="20"/>
      <c r="E157" s="20"/>
      <c r="F157" s="21"/>
      <c r="H157" s="178" t="s">
        <v>327</v>
      </c>
      <c r="I157" s="22"/>
      <c r="J157" s="22"/>
      <c r="K157" s="71"/>
      <c r="L157" s="71"/>
      <c r="M157" s="72"/>
    </row>
    <row r="158" spans="1:13" x14ac:dyDescent="0.2">
      <c r="A158" s="125"/>
      <c r="B158" s="20"/>
      <c r="C158" s="20"/>
      <c r="D158" s="29"/>
      <c r="E158" s="29"/>
      <c r="F158" s="29"/>
      <c r="H158" s="29"/>
      <c r="I158" s="29"/>
      <c r="J158" s="29"/>
      <c r="K158" s="29"/>
      <c r="L158" s="29"/>
      <c r="M158" s="36"/>
    </row>
    <row r="159" spans="1:13" x14ac:dyDescent="0.2">
      <c r="A159" s="125"/>
      <c r="B159" s="20"/>
      <c r="C159" s="20"/>
      <c r="D159" s="20"/>
      <c r="E159" s="20"/>
      <c r="F159" s="21"/>
      <c r="G159" s="178"/>
      <c r="H159" s="29"/>
      <c r="I159" s="29"/>
      <c r="J159" s="29"/>
      <c r="K159" s="71"/>
      <c r="L159" s="71"/>
      <c r="M159" s="72"/>
    </row>
    <row r="160" spans="1:13" x14ac:dyDescent="0.2">
      <c r="A160" s="125"/>
      <c r="B160" s="28"/>
      <c r="C160" s="28"/>
      <c r="D160" s="20"/>
      <c r="E160" s="20"/>
      <c r="F160" s="21"/>
      <c r="G160" s="178"/>
      <c r="H160" s="29"/>
      <c r="I160" s="68"/>
      <c r="J160" s="68"/>
      <c r="K160" s="71"/>
      <c r="L160" s="71"/>
      <c r="M160" s="72"/>
    </row>
    <row r="161" spans="1:13" x14ac:dyDescent="0.2">
      <c r="A161" s="125"/>
      <c r="B161" s="20"/>
      <c r="C161" s="20"/>
      <c r="D161" s="20"/>
      <c r="E161" s="74"/>
      <c r="F161" s="20"/>
      <c r="G161" s="178"/>
      <c r="H161" s="29"/>
      <c r="I161" s="20"/>
      <c r="J161" s="68"/>
      <c r="K161" s="29"/>
      <c r="L161" s="29"/>
      <c r="M161" s="36"/>
    </row>
    <row r="162" spans="1:13" ht="18" x14ac:dyDescent="0.25">
      <c r="A162" s="31"/>
      <c r="B162" s="20"/>
      <c r="C162" s="20"/>
      <c r="D162" s="20"/>
      <c r="E162" s="20"/>
      <c r="F162" s="21"/>
      <c r="G162" s="178"/>
      <c r="H162" s="29"/>
      <c r="I162" s="22"/>
      <c r="J162" s="22"/>
      <c r="K162" s="20"/>
      <c r="L162" s="20"/>
      <c r="M162" s="23"/>
    </row>
    <row r="163" spans="1:13" ht="18" x14ac:dyDescent="0.25">
      <c r="A163" s="31"/>
      <c r="B163" s="20"/>
      <c r="C163" s="20"/>
      <c r="D163" s="20"/>
      <c r="E163" s="74"/>
      <c r="F163" s="68"/>
      <c r="H163" s="69"/>
      <c r="I163" s="68"/>
      <c r="J163" s="69"/>
      <c r="K163" s="70"/>
      <c r="L163" s="70"/>
      <c r="M163" s="23"/>
    </row>
    <row r="164" spans="1:13" ht="18" x14ac:dyDescent="0.25">
      <c r="A164" s="107"/>
      <c r="B164" s="24"/>
      <c r="C164" s="24"/>
      <c r="D164" s="24"/>
      <c r="E164" s="102"/>
      <c r="F164" s="76"/>
      <c r="G164" s="108"/>
      <c r="H164" s="108"/>
      <c r="I164" s="76"/>
      <c r="J164" s="108"/>
      <c r="K164" s="75"/>
      <c r="L164" s="75"/>
      <c r="M164" s="99"/>
    </row>
    <row r="165" spans="1:13" x14ac:dyDescent="0.2">
      <c r="A165" s="74"/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0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19:C119"/>
    <mergeCell ref="B108:C108"/>
    <mergeCell ref="B109:C109"/>
    <mergeCell ref="B112:C112"/>
    <mergeCell ref="B116:C116"/>
    <mergeCell ref="B117:C117"/>
    <mergeCell ref="B118:C118"/>
  </mergeCells>
  <pageMargins left="0.5" right="0.5" top="0.5" bottom="0.5" header="0.3" footer="0.5"/>
  <pageSetup scale="97" fitToHeight="0" orientation="landscape" r:id="rId1"/>
  <headerFooter>
    <oddHeader>&amp;C
&amp;RDec.
 2016
 - Page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showWhiteSpace="0" view="pageLayout" topLeftCell="A9" zoomScaleNormal="100" workbookViewId="0">
      <selection activeCell="M9" sqref="M9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 t="s">
        <v>328</v>
      </c>
      <c r="H2" s="134"/>
      <c r="I2" s="134"/>
      <c r="J2" s="7"/>
    </row>
    <row r="6" spans="1:18" x14ac:dyDescent="0.2">
      <c r="A6" s="137" t="s">
        <v>15</v>
      </c>
      <c r="B6" s="138"/>
      <c r="C6" s="44" t="s">
        <v>3</v>
      </c>
      <c r="D6" s="44" t="s">
        <v>4</v>
      </c>
      <c r="E6" s="44" t="s">
        <v>0</v>
      </c>
      <c r="F6" s="44" t="s">
        <v>1</v>
      </c>
      <c r="G6" s="44" t="s">
        <v>2</v>
      </c>
      <c r="H6" s="44" t="s">
        <v>5</v>
      </c>
      <c r="I6" s="44" t="s">
        <v>6</v>
      </c>
      <c r="J6" s="44" t="s">
        <v>27</v>
      </c>
      <c r="K6" s="44" t="s">
        <v>39</v>
      </c>
      <c r="L6" s="44" t="s">
        <v>143</v>
      </c>
      <c r="M6" s="201" t="s">
        <v>14</v>
      </c>
    </row>
    <row r="7" spans="1:18" x14ac:dyDescent="0.2">
      <c r="A7" s="31"/>
      <c r="B7" s="29" t="s">
        <v>16</v>
      </c>
      <c r="C7" s="29">
        <v>68</v>
      </c>
      <c r="D7" s="29">
        <v>10</v>
      </c>
      <c r="E7" s="29">
        <v>217</v>
      </c>
      <c r="F7" s="61">
        <v>417</v>
      </c>
      <c r="G7" s="61">
        <v>98</v>
      </c>
      <c r="H7" s="61">
        <v>0</v>
      </c>
      <c r="I7" s="61">
        <v>1</v>
      </c>
      <c r="J7" s="61">
        <v>358</v>
      </c>
      <c r="K7" s="61">
        <v>22</v>
      </c>
      <c r="L7" s="166"/>
      <c r="M7" s="51">
        <f>SUM(C7:L7)</f>
        <v>1191</v>
      </c>
    </row>
    <row r="8" spans="1:18" x14ac:dyDescent="0.2">
      <c r="A8" s="31"/>
      <c r="B8" s="47" t="s">
        <v>146</v>
      </c>
      <c r="C8" s="29">
        <v>13</v>
      </c>
      <c r="D8" s="29">
        <v>0</v>
      </c>
      <c r="E8" s="29">
        <v>8</v>
      </c>
      <c r="F8" s="61">
        <v>45</v>
      </c>
      <c r="G8" s="61">
        <v>7</v>
      </c>
      <c r="H8" s="61">
        <v>0</v>
      </c>
      <c r="I8" s="61">
        <v>0</v>
      </c>
      <c r="J8" s="61">
        <v>6</v>
      </c>
      <c r="K8" s="61">
        <v>0</v>
      </c>
      <c r="L8" s="167">
        <v>24</v>
      </c>
      <c r="M8" s="51">
        <f>SUM(C8:L8)</f>
        <v>103</v>
      </c>
    </row>
    <row r="9" spans="1:18" ht="13.5" thickBot="1" x14ac:dyDescent="0.25">
      <c r="A9" s="31"/>
      <c r="B9" s="47" t="s">
        <v>147</v>
      </c>
      <c r="C9" s="3">
        <v>7</v>
      </c>
      <c r="D9" s="3">
        <v>0</v>
      </c>
      <c r="E9" s="3">
        <v>4</v>
      </c>
      <c r="F9" s="3">
        <v>138</v>
      </c>
      <c r="G9" s="3">
        <v>9</v>
      </c>
      <c r="H9" s="3">
        <v>0</v>
      </c>
      <c r="I9" s="3">
        <v>0</v>
      </c>
      <c r="J9" s="3">
        <v>11</v>
      </c>
      <c r="K9" s="3">
        <v>3</v>
      </c>
      <c r="L9" s="168"/>
      <c r="M9" s="51">
        <f>SUM(C9:L9)</f>
        <v>172</v>
      </c>
    </row>
    <row r="10" spans="1:18" ht="13.5" thickTop="1" x14ac:dyDescent="0.2">
      <c r="A10" s="41"/>
      <c r="B10" s="55" t="s">
        <v>14</v>
      </c>
      <c r="C10" s="38">
        <f>SUM(C7:C9)</f>
        <v>88</v>
      </c>
      <c r="D10" s="38">
        <f>SUM(D7:D9)</f>
        <v>10</v>
      </c>
      <c r="E10" s="38">
        <f>SUM(E7:E9)</f>
        <v>229</v>
      </c>
      <c r="F10" s="38">
        <f>SUM(F7:F9)</f>
        <v>600</v>
      </c>
      <c r="G10" s="38">
        <f>SUM(G7:G9)</f>
        <v>114</v>
      </c>
      <c r="H10" s="38">
        <f t="shared" ref="H10:I10" si="0">SUM(H7,H9)</f>
        <v>0</v>
      </c>
      <c r="I10" s="38">
        <f t="shared" si="0"/>
        <v>1</v>
      </c>
      <c r="J10" s="38">
        <f>SUM(J7:J9)</f>
        <v>375</v>
      </c>
      <c r="K10" s="38">
        <f>SUM(K7:K9)</f>
        <v>25</v>
      </c>
      <c r="L10" s="38">
        <f>SUM(L7:L9)</f>
        <v>24</v>
      </c>
      <c r="M10" s="39">
        <f>SUM(C10:L10)</f>
        <v>1466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3372</v>
      </c>
      <c r="D12" s="123">
        <v>82</v>
      </c>
      <c r="E12" s="122">
        <v>14439</v>
      </c>
      <c r="F12" s="123">
        <v>11808</v>
      </c>
      <c r="G12" s="123">
        <v>9279</v>
      </c>
      <c r="H12" s="123">
        <v>104</v>
      </c>
      <c r="I12" s="123">
        <v>60</v>
      </c>
      <c r="J12" s="123">
        <v>11114</v>
      </c>
      <c r="K12" s="123">
        <v>1887</v>
      </c>
      <c r="L12" s="123"/>
      <c r="M12" s="124">
        <f>SUM(C12:K12)</f>
        <v>52145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202" t="s">
        <v>3</v>
      </c>
      <c r="D17" s="202" t="s">
        <v>4</v>
      </c>
      <c r="E17" s="202" t="s">
        <v>0</v>
      </c>
      <c r="F17" s="202" t="s">
        <v>1</v>
      </c>
      <c r="G17" s="202" t="s">
        <v>2</v>
      </c>
      <c r="H17" s="202" t="s">
        <v>5</v>
      </c>
      <c r="I17" s="202" t="s">
        <v>6</v>
      </c>
      <c r="J17" s="202" t="s">
        <v>27</v>
      </c>
      <c r="K17" s="202" t="s">
        <v>39</v>
      </c>
      <c r="L17" s="202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76</v>
      </c>
      <c r="D19" s="29">
        <v>1</v>
      </c>
      <c r="E19" s="29">
        <v>112</v>
      </c>
      <c r="F19" s="4">
        <v>206</v>
      </c>
      <c r="G19" s="4">
        <v>83</v>
      </c>
      <c r="H19" s="4">
        <v>1</v>
      </c>
      <c r="I19" s="4">
        <v>5</v>
      </c>
      <c r="J19" s="4">
        <v>65</v>
      </c>
      <c r="K19" s="4">
        <v>43</v>
      </c>
      <c r="L19" s="36">
        <f>SUM(C19:K19)</f>
        <v>592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0</v>
      </c>
      <c r="D21" s="4">
        <v>1</v>
      </c>
      <c r="E21" s="4">
        <v>18</v>
      </c>
      <c r="F21" s="4">
        <v>17</v>
      </c>
      <c r="G21" s="4">
        <v>19</v>
      </c>
      <c r="H21" s="4">
        <v>1</v>
      </c>
      <c r="I21" s="4">
        <v>0</v>
      </c>
      <c r="J21" s="4">
        <v>31</v>
      </c>
      <c r="K21" s="4">
        <v>4</v>
      </c>
      <c r="L21" s="51">
        <f>SUM(C21:K21)</f>
        <v>91</v>
      </c>
    </row>
    <row r="22" spans="1:13" x14ac:dyDescent="0.2">
      <c r="A22" s="31"/>
      <c r="B22" s="29" t="s">
        <v>10</v>
      </c>
      <c r="C22" s="4">
        <v>5</v>
      </c>
      <c r="D22" s="4">
        <v>4</v>
      </c>
      <c r="E22" s="4">
        <v>13</v>
      </c>
      <c r="F22" s="4">
        <v>58</v>
      </c>
      <c r="G22" s="4">
        <v>20</v>
      </c>
      <c r="H22" s="4">
        <v>2</v>
      </c>
      <c r="I22" s="4">
        <v>2</v>
      </c>
      <c r="J22" s="4">
        <v>25</v>
      </c>
      <c r="K22" s="4">
        <v>0</v>
      </c>
      <c r="L22" s="51">
        <f>SUM(C22:K22)</f>
        <v>129</v>
      </c>
    </row>
    <row r="23" spans="1:13" ht="13.5" thickBot="1" x14ac:dyDescent="0.25">
      <c r="A23" s="31"/>
      <c r="B23" s="29" t="s">
        <v>9</v>
      </c>
      <c r="C23" s="3">
        <v>119</v>
      </c>
      <c r="D23" s="3">
        <v>72</v>
      </c>
      <c r="E23" s="3">
        <v>287</v>
      </c>
      <c r="F23" s="3">
        <v>315</v>
      </c>
      <c r="G23" s="3">
        <v>164</v>
      </c>
      <c r="H23" s="3">
        <v>11</v>
      </c>
      <c r="I23" s="3">
        <v>12</v>
      </c>
      <c r="J23" s="3">
        <v>573</v>
      </c>
      <c r="K23" s="3">
        <v>155</v>
      </c>
      <c r="L23" s="49">
        <f>SUM(C23:K23)</f>
        <v>1708</v>
      </c>
    </row>
    <row r="24" spans="1:13" ht="13.5" thickTop="1" x14ac:dyDescent="0.2">
      <c r="A24" s="31"/>
      <c r="B24" s="50" t="s">
        <v>14</v>
      </c>
      <c r="C24" s="29">
        <f>SUM(C19:C23)</f>
        <v>201</v>
      </c>
      <c r="D24" s="29">
        <f t="shared" ref="D24:L24" si="1">SUM(D19:D23)</f>
        <v>78</v>
      </c>
      <c r="E24" s="29">
        <f t="shared" si="1"/>
        <v>431</v>
      </c>
      <c r="F24" s="29">
        <f t="shared" si="1"/>
        <v>596</v>
      </c>
      <c r="G24" s="29">
        <f t="shared" si="1"/>
        <v>287</v>
      </c>
      <c r="H24" s="29">
        <f t="shared" si="1"/>
        <v>15</v>
      </c>
      <c r="I24" s="29">
        <f t="shared" si="1"/>
        <v>19</v>
      </c>
      <c r="J24" s="29">
        <f t="shared" si="1"/>
        <v>694</v>
      </c>
      <c r="K24" s="29">
        <f t="shared" si="1"/>
        <v>207</v>
      </c>
      <c r="L24" s="36">
        <f t="shared" si="1"/>
        <v>2528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333</v>
      </c>
      <c r="M26" s="156" t="s">
        <v>14</v>
      </c>
    </row>
    <row r="27" spans="1:13" x14ac:dyDescent="0.2">
      <c r="A27" s="132" t="s">
        <v>34</v>
      </c>
      <c r="B27" s="139"/>
      <c r="C27" s="73">
        <v>20.85</v>
      </c>
      <c r="D27" s="73">
        <v>0</v>
      </c>
      <c r="E27" s="73">
        <v>25.75</v>
      </c>
      <c r="F27" s="73">
        <v>17.7</v>
      </c>
      <c r="G27" s="73">
        <v>0.5</v>
      </c>
      <c r="H27" s="73">
        <v>0</v>
      </c>
      <c r="I27" s="73">
        <v>8.25</v>
      </c>
      <c r="J27" s="73">
        <v>34.24</v>
      </c>
      <c r="K27" s="73">
        <v>29.5</v>
      </c>
      <c r="L27" s="73">
        <v>29</v>
      </c>
      <c r="M27" s="118">
        <f>SUM(C27:L27)</f>
        <v>165.79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4" t="s">
        <v>3</v>
      </c>
      <c r="D30" s="44" t="s">
        <v>4</v>
      </c>
      <c r="E30" s="44" t="s">
        <v>0</v>
      </c>
      <c r="F30" s="44" t="s">
        <v>1</v>
      </c>
      <c r="G30" s="44" t="s">
        <v>2</v>
      </c>
      <c r="H30" s="44" t="s">
        <v>5</v>
      </c>
      <c r="I30" s="44" t="s">
        <v>6</v>
      </c>
      <c r="J30" s="44" t="s">
        <v>27</v>
      </c>
      <c r="K30" s="44" t="s">
        <v>39</v>
      </c>
      <c r="L30" s="201" t="s">
        <v>14</v>
      </c>
    </row>
    <row r="31" spans="1:13" x14ac:dyDescent="0.2">
      <c r="B31" s="60" t="s">
        <v>17</v>
      </c>
      <c r="C31" s="29">
        <v>42</v>
      </c>
      <c r="D31" s="29">
        <v>31</v>
      </c>
      <c r="E31" s="29">
        <v>205</v>
      </c>
      <c r="F31" s="4">
        <v>217</v>
      </c>
      <c r="G31" s="4">
        <v>234</v>
      </c>
      <c r="H31" s="4">
        <v>198</v>
      </c>
      <c r="I31" s="4">
        <v>3</v>
      </c>
      <c r="J31" s="4">
        <v>347</v>
      </c>
      <c r="K31" s="4">
        <v>141</v>
      </c>
      <c r="L31" s="51">
        <f t="shared" ref="L31:L36" si="2">SUM(C31:K31)</f>
        <v>1418</v>
      </c>
    </row>
    <row r="32" spans="1:13" x14ac:dyDescent="0.2">
      <c r="B32" s="60" t="s">
        <v>18</v>
      </c>
      <c r="C32" s="29">
        <v>27</v>
      </c>
      <c r="D32" s="29">
        <v>28</v>
      </c>
      <c r="E32" s="29">
        <v>65</v>
      </c>
      <c r="F32" s="4">
        <v>44</v>
      </c>
      <c r="G32" s="4">
        <v>19</v>
      </c>
      <c r="H32" s="4">
        <v>4</v>
      </c>
      <c r="I32" s="4">
        <v>3</v>
      </c>
      <c r="J32" s="4">
        <v>24</v>
      </c>
      <c r="K32" s="4">
        <v>28</v>
      </c>
      <c r="L32" s="51">
        <f t="shared" si="2"/>
        <v>242</v>
      </c>
    </row>
    <row r="33" spans="1:12" x14ac:dyDescent="0.2">
      <c r="B33" s="60" t="s">
        <v>20</v>
      </c>
      <c r="C33" s="29">
        <v>159</v>
      </c>
      <c r="D33" s="29">
        <v>163</v>
      </c>
      <c r="E33" s="29">
        <v>578</v>
      </c>
      <c r="F33" s="29">
        <v>302</v>
      </c>
      <c r="G33" s="4">
        <v>195</v>
      </c>
      <c r="H33" s="4">
        <v>0</v>
      </c>
      <c r="I33" s="4">
        <v>0</v>
      </c>
      <c r="J33" s="4">
        <v>256</v>
      </c>
      <c r="K33" s="29">
        <v>181</v>
      </c>
      <c r="L33" s="51">
        <f t="shared" si="2"/>
        <v>1834</v>
      </c>
    </row>
    <row r="34" spans="1:12" x14ac:dyDescent="0.2">
      <c r="B34" s="60" t="s">
        <v>108</v>
      </c>
      <c r="C34" s="4">
        <f>11+27</f>
        <v>38</v>
      </c>
      <c r="D34" s="4">
        <f>3+33</f>
        <v>36</v>
      </c>
      <c r="E34" s="4">
        <f>2+4</f>
        <v>6</v>
      </c>
      <c r="F34" s="4">
        <f>36+6</f>
        <v>42</v>
      </c>
      <c r="G34" s="4">
        <f>13+11</f>
        <v>24</v>
      </c>
      <c r="H34" s="4">
        <f>26</f>
        <v>26</v>
      </c>
      <c r="I34" s="4">
        <v>19</v>
      </c>
      <c r="J34">
        <f>7+11</f>
        <v>18</v>
      </c>
      <c r="K34" s="4">
        <f>62+33</f>
        <v>95</v>
      </c>
      <c r="L34" s="51">
        <f t="shared" si="2"/>
        <v>304</v>
      </c>
    </row>
    <row r="35" spans="1:12" ht="13.5" thickBot="1" x14ac:dyDescent="0.25">
      <c r="B35" s="119" t="s">
        <v>19</v>
      </c>
      <c r="C35" s="3">
        <f>C76</f>
        <v>0</v>
      </c>
      <c r="D35" s="3">
        <f t="shared" ref="D35:K35" si="3">D76</f>
        <v>1</v>
      </c>
      <c r="E35" s="3">
        <f t="shared" si="3"/>
        <v>0</v>
      </c>
      <c r="F35" s="3">
        <f t="shared" si="3"/>
        <v>2</v>
      </c>
      <c r="G35" s="3">
        <f t="shared" si="3"/>
        <v>1</v>
      </c>
      <c r="H35" s="3">
        <f t="shared" si="3"/>
        <v>0</v>
      </c>
      <c r="I35" s="3">
        <f t="shared" si="3"/>
        <v>4</v>
      </c>
      <c r="J35" s="3">
        <f t="shared" si="3"/>
        <v>14</v>
      </c>
      <c r="K35" s="3">
        <f t="shared" si="3"/>
        <v>0</v>
      </c>
      <c r="L35" s="117">
        <f t="shared" si="2"/>
        <v>22</v>
      </c>
    </row>
    <row r="36" spans="1:12" ht="13.5" thickTop="1" x14ac:dyDescent="0.2">
      <c r="B36" s="58" t="s">
        <v>14</v>
      </c>
      <c r="C36" s="38">
        <f t="shared" ref="C36:K36" si="4">SUM(C31:C35)</f>
        <v>266</v>
      </c>
      <c r="D36" s="38">
        <f t="shared" si="4"/>
        <v>259</v>
      </c>
      <c r="E36" s="38">
        <f t="shared" si="4"/>
        <v>854</v>
      </c>
      <c r="F36" s="38">
        <f t="shared" si="4"/>
        <v>607</v>
      </c>
      <c r="G36" s="38">
        <f>SUM(G31:G35)</f>
        <v>473</v>
      </c>
      <c r="H36" s="38">
        <f t="shared" si="4"/>
        <v>228</v>
      </c>
      <c r="I36" s="38">
        <f t="shared" si="4"/>
        <v>29</v>
      </c>
      <c r="J36" s="38">
        <f t="shared" si="4"/>
        <v>659</v>
      </c>
      <c r="K36" s="38">
        <f t="shared" si="4"/>
        <v>445</v>
      </c>
      <c r="L36" s="80">
        <f t="shared" si="2"/>
        <v>3820</v>
      </c>
    </row>
    <row r="38" spans="1:12" x14ac:dyDescent="0.2">
      <c r="A38" s="137" t="s">
        <v>56</v>
      </c>
      <c r="B38" s="138"/>
      <c r="C38" s="33">
        <v>1</v>
      </c>
      <c r="D38" s="33">
        <v>3</v>
      </c>
      <c r="E38" s="33">
        <v>10</v>
      </c>
      <c r="F38" s="56">
        <v>16</v>
      </c>
      <c r="G38" s="56">
        <v>15</v>
      </c>
      <c r="H38" s="56">
        <v>0</v>
      </c>
      <c r="I38" s="56">
        <v>0</v>
      </c>
      <c r="J38" s="56">
        <v>43</v>
      </c>
      <c r="K38" s="56">
        <v>2</v>
      </c>
      <c r="L38" s="120">
        <f>SUM(C38:K38)</f>
        <v>90</v>
      </c>
    </row>
    <row r="39" spans="1:12" ht="13.5" thickBot="1" x14ac:dyDescent="0.25">
      <c r="A39" s="60" t="s">
        <v>148</v>
      </c>
      <c r="B39" s="50"/>
      <c r="C39" s="3">
        <v>0</v>
      </c>
      <c r="D39" s="3">
        <v>0</v>
      </c>
      <c r="E39" s="3">
        <v>0</v>
      </c>
      <c r="F39" s="3">
        <v>42</v>
      </c>
      <c r="G39" s="3">
        <v>0</v>
      </c>
      <c r="H39" s="3">
        <v>12</v>
      </c>
      <c r="I39" s="3">
        <v>0</v>
      </c>
      <c r="J39" s="3">
        <v>246</v>
      </c>
      <c r="K39" s="3">
        <v>0</v>
      </c>
      <c r="L39" s="117">
        <f>SUM(C39:K39)</f>
        <v>300</v>
      </c>
    </row>
    <row r="40" spans="1:12" ht="13.5" thickTop="1" x14ac:dyDescent="0.2">
      <c r="A40" s="60"/>
      <c r="B40" s="50" t="s">
        <v>7</v>
      </c>
      <c r="C40" s="29">
        <f>SUM(C38:C39)</f>
        <v>1</v>
      </c>
      <c r="D40" s="29">
        <f t="shared" ref="D40:K40" si="5">SUM(D38:D39)</f>
        <v>3</v>
      </c>
      <c r="E40" s="29">
        <f t="shared" si="5"/>
        <v>10</v>
      </c>
      <c r="F40" s="29">
        <f t="shared" si="5"/>
        <v>58</v>
      </c>
      <c r="G40" s="29">
        <f t="shared" si="5"/>
        <v>15</v>
      </c>
      <c r="H40" s="179">
        <f>SUM(H38:H39)</f>
        <v>12</v>
      </c>
      <c r="I40" s="29">
        <f t="shared" si="5"/>
        <v>0</v>
      </c>
      <c r="J40" s="29">
        <f t="shared" si="5"/>
        <v>289</v>
      </c>
      <c r="K40" s="29">
        <f t="shared" si="5"/>
        <v>2</v>
      </c>
      <c r="L40" s="121">
        <f>SUM(L38:L39)</f>
        <v>390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11</v>
      </c>
      <c r="F42" s="123">
        <v>35</v>
      </c>
      <c r="G42" s="123">
        <v>0</v>
      </c>
      <c r="H42" s="123">
        <v>0</v>
      </c>
      <c r="I42" s="123">
        <v>0</v>
      </c>
      <c r="J42" s="123">
        <v>19</v>
      </c>
      <c r="K42" s="123">
        <v>0</v>
      </c>
      <c r="L42" s="124">
        <f>SUM(C42:K42)</f>
        <v>65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2</v>
      </c>
      <c r="F44" s="33"/>
      <c r="G44" s="33">
        <v>0</v>
      </c>
      <c r="H44" s="33">
        <v>0</v>
      </c>
      <c r="I44" s="33">
        <v>0</v>
      </c>
      <c r="J44" s="33">
        <v>3</v>
      </c>
      <c r="K44" s="33">
        <v>0</v>
      </c>
      <c r="L44" s="34">
        <f>SUM(C44:K44)</f>
        <v>5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28</v>
      </c>
      <c r="F45" s="38"/>
      <c r="G45" s="38">
        <v>0</v>
      </c>
      <c r="H45" s="38">
        <v>0</v>
      </c>
      <c r="I45" s="38">
        <v>0</v>
      </c>
      <c r="J45" s="38">
        <v>41</v>
      </c>
      <c r="K45" s="38">
        <v>0</v>
      </c>
      <c r="L45" s="39">
        <f>SUM(C45:K45)</f>
        <v>69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203" t="s">
        <v>3</v>
      </c>
      <c r="D48" s="203" t="s">
        <v>4</v>
      </c>
      <c r="E48" s="203" t="s">
        <v>0</v>
      </c>
      <c r="F48" s="203" t="s">
        <v>1</v>
      </c>
      <c r="G48" s="203" t="s">
        <v>2</v>
      </c>
      <c r="H48" s="203" t="s">
        <v>5</v>
      </c>
      <c r="I48" s="203" t="s">
        <v>6</v>
      </c>
      <c r="J48" s="203" t="s">
        <v>27</v>
      </c>
      <c r="K48" s="203" t="s">
        <v>39</v>
      </c>
      <c r="L48" s="204" t="s">
        <v>14</v>
      </c>
    </row>
    <row r="49" spans="2:12" x14ac:dyDescent="0.2">
      <c r="B49" s="111" t="s">
        <v>71</v>
      </c>
      <c r="C49" s="122"/>
      <c r="D49" s="122"/>
      <c r="E49" s="122"/>
      <c r="F49" s="129"/>
      <c r="G49" s="129"/>
      <c r="H49" s="129"/>
      <c r="I49" s="129"/>
      <c r="J49" s="129"/>
      <c r="K49" s="129"/>
      <c r="L49" s="130">
        <f t="shared" ref="L49:L75" si="6">SUM(C49:K49)</f>
        <v>0</v>
      </c>
    </row>
    <row r="50" spans="2:12" x14ac:dyDescent="0.2">
      <c r="B50" s="100" t="s">
        <v>113</v>
      </c>
      <c r="C50" s="122"/>
      <c r="D50" s="122"/>
      <c r="E50" s="129"/>
      <c r="F50" s="122"/>
      <c r="G50" s="122"/>
      <c r="H50" s="122"/>
      <c r="I50" s="122"/>
      <c r="J50" s="122"/>
      <c r="K50" s="122"/>
      <c r="L50" s="130">
        <f t="shared" si="6"/>
        <v>0</v>
      </c>
    </row>
    <row r="51" spans="2:12" x14ac:dyDescent="0.2">
      <c r="B51" s="100" t="s">
        <v>103</v>
      </c>
      <c r="C51" s="122"/>
      <c r="D51" s="122"/>
      <c r="E51" s="122"/>
      <c r="F51" s="122"/>
      <c r="G51" s="129"/>
      <c r="H51" s="129"/>
      <c r="I51" s="122"/>
      <c r="J51" s="122"/>
      <c r="K51" s="129"/>
      <c r="L51" s="130">
        <f t="shared" si="6"/>
        <v>0</v>
      </c>
    </row>
    <row r="52" spans="2:12" x14ac:dyDescent="0.2">
      <c r="B52" s="100" t="s">
        <v>137</v>
      </c>
      <c r="C52" s="122"/>
      <c r="D52" s="122">
        <v>1</v>
      </c>
      <c r="E52" s="122"/>
      <c r="F52" s="122"/>
      <c r="G52" s="129"/>
      <c r="H52" s="122"/>
      <c r="I52" s="122"/>
      <c r="J52" s="122"/>
      <c r="K52" s="129"/>
      <c r="L52" s="130">
        <f t="shared" si="6"/>
        <v>1</v>
      </c>
    </row>
    <row r="53" spans="2:12" x14ac:dyDescent="0.2">
      <c r="B53" s="100" t="s">
        <v>149</v>
      </c>
      <c r="C53" s="129"/>
      <c r="D53" s="122"/>
      <c r="E53" s="122"/>
      <c r="F53" s="122"/>
      <c r="G53" s="129"/>
      <c r="H53" s="122"/>
      <c r="I53" s="122"/>
      <c r="J53" s="122"/>
      <c r="K53" s="129"/>
      <c r="L53" s="130">
        <f t="shared" si="6"/>
        <v>0</v>
      </c>
    </row>
    <row r="54" spans="2:12" x14ac:dyDescent="0.2">
      <c r="B54" s="100" t="s">
        <v>104</v>
      </c>
      <c r="C54" s="129"/>
      <c r="D54" s="122"/>
      <c r="E54" s="129"/>
      <c r="F54" s="129"/>
      <c r="G54" s="129"/>
      <c r="H54" s="122"/>
      <c r="I54" s="122"/>
      <c r="J54" s="122"/>
      <c r="K54" s="122"/>
      <c r="L54" s="130">
        <f t="shared" si="6"/>
        <v>0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/>
      <c r="D56" s="122"/>
      <c r="E56" s="129"/>
      <c r="F56" s="129"/>
      <c r="G56" s="129"/>
      <c r="H56" s="129"/>
      <c r="I56" s="129"/>
      <c r="J56" s="129"/>
      <c r="K56" s="129"/>
      <c r="L56" s="130">
        <f t="shared" si="6"/>
        <v>0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6"/>
        <v>0</v>
      </c>
    </row>
    <row r="58" spans="2:12" x14ac:dyDescent="0.2">
      <c r="B58" s="100" t="s">
        <v>102</v>
      </c>
      <c r="C58" s="122"/>
      <c r="D58" s="122"/>
      <c r="E58" s="129"/>
      <c r="F58" s="129"/>
      <c r="G58" s="129"/>
      <c r="H58" s="129"/>
      <c r="I58" s="122"/>
      <c r="J58" s="122"/>
      <c r="K58" s="129"/>
      <c r="L58" s="130">
        <f t="shared" si="6"/>
        <v>0</v>
      </c>
    </row>
    <row r="59" spans="2:12" x14ac:dyDescent="0.2">
      <c r="B59" s="100" t="s">
        <v>105</v>
      </c>
      <c r="C59" s="122"/>
      <c r="D59" s="122"/>
      <c r="E59" s="129"/>
      <c r="F59" s="129"/>
      <c r="G59" s="129"/>
      <c r="H59" s="129"/>
      <c r="I59" s="122"/>
      <c r="J59" s="122"/>
      <c r="K59" s="129"/>
      <c r="L59" s="130">
        <f t="shared" si="6"/>
        <v>0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6"/>
        <v>0</v>
      </c>
    </row>
    <row r="61" spans="2:12" x14ac:dyDescent="0.2">
      <c r="B61" s="111" t="s">
        <v>41</v>
      </c>
      <c r="C61" s="122"/>
      <c r="D61" s="122"/>
      <c r="E61" s="129"/>
      <c r="F61" s="129"/>
      <c r="G61" s="129"/>
      <c r="H61" s="129"/>
      <c r="I61" s="129"/>
      <c r="J61" s="129"/>
      <c r="K61" s="129"/>
      <c r="L61" s="130">
        <f t="shared" si="6"/>
        <v>0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6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/>
      <c r="H64" s="129"/>
      <c r="I64" s="129"/>
      <c r="J64" s="129"/>
      <c r="K64" s="129"/>
      <c r="L64" s="130">
        <f t="shared" si="6"/>
        <v>0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/>
      <c r="I65" s="129"/>
      <c r="J65" s="129"/>
      <c r="K65" s="129"/>
      <c r="L65" s="130">
        <f t="shared" si="6"/>
        <v>0</v>
      </c>
    </row>
    <row r="66" spans="1:13" x14ac:dyDescent="0.2">
      <c r="B66" s="111" t="s">
        <v>80</v>
      </c>
      <c r="C66" s="129"/>
      <c r="D66" s="129"/>
      <c r="E66" s="129"/>
      <c r="F66" s="129">
        <v>2</v>
      </c>
      <c r="G66" s="129">
        <v>1</v>
      </c>
      <c r="H66" s="129"/>
      <c r="I66" s="129">
        <v>4</v>
      </c>
      <c r="J66" s="129">
        <v>11</v>
      </c>
      <c r="K66" s="129"/>
      <c r="L66" s="130">
        <f t="shared" si="6"/>
        <v>18</v>
      </c>
    </row>
    <row r="67" spans="1:13" x14ac:dyDescent="0.2">
      <c r="B67" s="100" t="s">
        <v>151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30">
        <f t="shared" si="6"/>
        <v>0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/>
      <c r="D69" s="122"/>
      <c r="E69" s="129"/>
      <c r="F69" s="129"/>
      <c r="G69" s="129"/>
      <c r="H69" s="129"/>
      <c r="I69" s="129"/>
      <c r="J69" s="129">
        <v>1</v>
      </c>
      <c r="K69" s="129"/>
      <c r="L69" s="130">
        <f t="shared" si="6"/>
        <v>1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6"/>
        <v>0</v>
      </c>
    </row>
    <row r="71" spans="1:13" x14ac:dyDescent="0.2">
      <c r="B71" s="100" t="s">
        <v>43</v>
      </c>
      <c r="C71" s="129"/>
      <c r="D71" s="122"/>
      <c r="E71" s="129"/>
      <c r="F71" s="129"/>
      <c r="G71" s="129"/>
      <c r="H71" s="129"/>
      <c r="I71" s="129"/>
      <c r="J71" s="129"/>
      <c r="K71" s="129"/>
      <c r="L71" s="130">
        <f t="shared" si="6"/>
        <v>0</v>
      </c>
    </row>
    <row r="72" spans="1:13" x14ac:dyDescent="0.2">
      <c r="B72" s="100" t="s">
        <v>42</v>
      </c>
      <c r="C72" s="122"/>
      <c r="D72" s="122"/>
      <c r="E72" s="122"/>
      <c r="F72" s="129"/>
      <c r="G72" s="122"/>
      <c r="H72" s="129"/>
      <c r="I72" s="129"/>
      <c r="J72" s="129">
        <v>1</v>
      </c>
      <c r="K72" s="129"/>
      <c r="L72" s="130">
        <f t="shared" si="6"/>
        <v>1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6"/>
        <v>0</v>
      </c>
    </row>
    <row r="75" spans="1:13" ht="13.5" thickBot="1" x14ac:dyDescent="0.25">
      <c r="B75" s="66" t="s">
        <v>66</v>
      </c>
      <c r="C75" s="3"/>
      <c r="D75" s="3"/>
      <c r="E75" s="3"/>
      <c r="F75" s="3"/>
      <c r="G75" s="3"/>
      <c r="H75" s="3"/>
      <c r="I75" s="3"/>
      <c r="J75" s="3">
        <v>1</v>
      </c>
      <c r="K75" s="3"/>
      <c r="L75" s="176">
        <f t="shared" si="6"/>
        <v>1</v>
      </c>
    </row>
    <row r="76" spans="1:13" ht="13.5" thickTop="1" x14ac:dyDescent="0.2">
      <c r="B76" s="58" t="s">
        <v>7</v>
      </c>
      <c r="C76" s="38">
        <f t="shared" ref="C76:L76" si="7">SUM(C49:C75)</f>
        <v>0</v>
      </c>
      <c r="D76" s="38">
        <f t="shared" si="7"/>
        <v>1</v>
      </c>
      <c r="E76" s="38">
        <f t="shared" si="7"/>
        <v>0</v>
      </c>
      <c r="F76" s="38">
        <f t="shared" si="7"/>
        <v>2</v>
      </c>
      <c r="G76" s="38">
        <f t="shared" si="7"/>
        <v>1</v>
      </c>
      <c r="H76" s="38">
        <f t="shared" si="7"/>
        <v>0</v>
      </c>
      <c r="I76" s="38">
        <f t="shared" si="7"/>
        <v>4</v>
      </c>
      <c r="J76" s="38">
        <f t="shared" si="7"/>
        <v>14</v>
      </c>
      <c r="K76" s="38">
        <f t="shared" si="7"/>
        <v>0</v>
      </c>
      <c r="L76" s="38">
        <f t="shared" si="7"/>
        <v>22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46866</v>
      </c>
      <c r="C82" s="29">
        <f>86+42+23</f>
        <v>151</v>
      </c>
      <c r="D82" s="29">
        <v>1458</v>
      </c>
      <c r="E82" s="4">
        <f>4+43+14+8+79+25+30+67+30+1</f>
        <v>301</v>
      </c>
      <c r="F82" s="4">
        <f>49+3+18+4+1+5+4+5+2+33+16+11+4+65+3+4+2+9+3+10+2+6+19+14+4+8+1+15+2+21+7+1+7+3+12+8+9+3+24+5+2+2+3</f>
        <v>429</v>
      </c>
      <c r="G82" s="29">
        <v>277</v>
      </c>
      <c r="H82" s="4">
        <f>20+174+2846</f>
        <v>3040</v>
      </c>
      <c r="I82" s="4">
        <v>9</v>
      </c>
      <c r="J82" s="29">
        <v>17</v>
      </c>
      <c r="K82" s="4">
        <v>120</v>
      </c>
      <c r="L82" s="29">
        <f>M84+M85</f>
        <v>4549</v>
      </c>
      <c r="M82" s="36">
        <f>SUM(B82:L82)</f>
        <v>57217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241</v>
      </c>
      <c r="L84" s="29"/>
      <c r="M84">
        <v>4373</v>
      </c>
    </row>
    <row r="85" spans="1:13" x14ac:dyDescent="0.2">
      <c r="A85" s="29"/>
      <c r="B85" s="29"/>
      <c r="C85" s="29"/>
      <c r="D85" s="29"/>
      <c r="E85" s="29"/>
      <c r="F85" s="29"/>
      <c r="G85" s="47" t="s">
        <v>240</v>
      </c>
      <c r="H85" s="29"/>
      <c r="J85" s="29"/>
      <c r="K85" s="29" t="s">
        <v>242</v>
      </c>
      <c r="L85" s="29"/>
      <c r="M85">
        <v>176</v>
      </c>
    </row>
    <row r="86" spans="1:13" x14ac:dyDescent="0.2">
      <c r="A86" s="137" t="s">
        <v>86</v>
      </c>
      <c r="B86" s="138"/>
      <c r="C86" s="64">
        <v>74</v>
      </c>
      <c r="F86" s="137" t="s">
        <v>48</v>
      </c>
      <c r="G86" s="138"/>
      <c r="H86" s="64">
        <v>87</v>
      </c>
      <c r="J86" s="137" t="s">
        <v>73</v>
      </c>
      <c r="K86" s="142"/>
      <c r="L86" s="142"/>
      <c r="M86" s="34">
        <v>15</v>
      </c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94</v>
      </c>
      <c r="J87" s="140" t="s">
        <v>74</v>
      </c>
      <c r="K87" s="152"/>
      <c r="L87" s="152"/>
      <c r="M87" s="39">
        <v>22</v>
      </c>
    </row>
    <row r="88" spans="1:13" x14ac:dyDescent="0.2">
      <c r="A88" s="140" t="s">
        <v>87</v>
      </c>
      <c r="B88" s="152"/>
      <c r="C88" s="39">
        <v>30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v>8</v>
      </c>
      <c r="D91" s="6"/>
      <c r="E91" s="31" t="s">
        <v>9</v>
      </c>
      <c r="F91" s="29"/>
      <c r="G91" s="36">
        <f>375+25</f>
        <v>400</v>
      </c>
      <c r="I91" s="35" t="s">
        <v>127</v>
      </c>
      <c r="J91" s="29"/>
      <c r="K91" s="29"/>
      <c r="L91" s="36">
        <v>559</v>
      </c>
      <c r="M91" s="6"/>
    </row>
    <row r="92" spans="1:13" x14ac:dyDescent="0.2">
      <c r="A92" s="35" t="s">
        <v>28</v>
      </c>
      <c r="B92" s="29"/>
      <c r="C92" s="36">
        <v>2</v>
      </c>
      <c r="D92" s="6"/>
      <c r="E92" s="31" t="s">
        <v>10</v>
      </c>
      <c r="F92" s="29"/>
      <c r="G92" s="36">
        <f>107+56</f>
        <v>163</v>
      </c>
      <c r="I92" s="35" t="s">
        <v>128</v>
      </c>
      <c r="J92" s="29"/>
      <c r="K92" s="29"/>
      <c r="L92" s="36">
        <v>133</v>
      </c>
      <c r="M92" s="6"/>
    </row>
    <row r="93" spans="1:13" x14ac:dyDescent="0.2">
      <c r="A93" s="35" t="s">
        <v>118</v>
      </c>
      <c r="B93" s="29"/>
      <c r="C93" s="36">
        <v>19</v>
      </c>
      <c r="D93" s="6"/>
      <c r="E93" s="31" t="s">
        <v>11</v>
      </c>
      <c r="F93" s="29"/>
      <c r="G93" s="36">
        <f>41+11</f>
        <v>52</v>
      </c>
      <c r="I93" s="35" t="s">
        <v>45</v>
      </c>
      <c r="J93" s="29"/>
      <c r="K93" s="29"/>
      <c r="L93" s="36">
        <v>43</v>
      </c>
      <c r="M93" s="6"/>
    </row>
    <row r="94" spans="1:13" x14ac:dyDescent="0.2">
      <c r="A94" s="35" t="s">
        <v>119</v>
      </c>
      <c r="B94" s="47"/>
      <c r="C94" s="36">
        <f>518+34+3</f>
        <v>555</v>
      </c>
      <c r="D94" s="6"/>
      <c r="E94" s="31" t="s">
        <v>37</v>
      </c>
      <c r="F94" s="29"/>
      <c r="G94" s="36">
        <f>286+8</f>
        <v>294</v>
      </c>
      <c r="I94" s="35" t="s">
        <v>46</v>
      </c>
      <c r="J94" s="29"/>
      <c r="K94" s="29"/>
      <c r="L94" s="36">
        <v>26</v>
      </c>
      <c r="M94" s="6"/>
    </row>
    <row r="95" spans="1:13" x14ac:dyDescent="0.2">
      <c r="A95" s="35" t="s">
        <v>101</v>
      </c>
      <c r="B95" s="47"/>
      <c r="C95" s="36">
        <f>31+52+1</f>
        <v>84</v>
      </c>
      <c r="D95" s="6"/>
      <c r="E95" s="41" t="s">
        <v>38</v>
      </c>
      <c r="F95" s="38"/>
      <c r="G95" s="39">
        <f>0</f>
        <v>0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v>20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f>71+10+1</f>
        <v>82</v>
      </c>
    </row>
    <row r="98" spans="1:13" x14ac:dyDescent="0.2">
      <c r="A98" s="35" t="s">
        <v>120</v>
      </c>
      <c r="B98" s="29"/>
      <c r="C98" s="36">
        <f>11</f>
        <v>11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31</v>
      </c>
    </row>
    <row r="100" spans="1:13" x14ac:dyDescent="0.2">
      <c r="A100" s="89" t="s">
        <v>122</v>
      </c>
      <c r="B100" s="47"/>
      <c r="C100" s="36">
        <v>0</v>
      </c>
      <c r="E100" s="35" t="s">
        <v>32</v>
      </c>
      <c r="F100" s="47"/>
      <c r="G100" s="47"/>
      <c r="H100" s="42">
        <v>24</v>
      </c>
    </row>
    <row r="101" spans="1:13" x14ac:dyDescent="0.2">
      <c r="A101" s="89" t="s">
        <v>18</v>
      </c>
      <c r="B101" s="29"/>
      <c r="C101" s="51">
        <v>8</v>
      </c>
      <c r="E101" s="37" t="s">
        <v>47</v>
      </c>
      <c r="F101" s="55"/>
      <c r="G101" s="38"/>
      <c r="H101" s="39"/>
      <c r="I101" s="2"/>
      <c r="J101" s="1"/>
    </row>
    <row r="102" spans="1:13" x14ac:dyDescent="0.2">
      <c r="A102" s="91" t="s">
        <v>20</v>
      </c>
      <c r="B102" s="38"/>
      <c r="C102" s="39">
        <f>499+58+159</f>
        <v>716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2"/>
      <c r="J103" s="1"/>
    </row>
    <row r="104" spans="1:13" x14ac:dyDescent="0.2">
      <c r="A104" s="79"/>
      <c r="B104" s="29"/>
      <c r="C104" s="29"/>
      <c r="I104" s="2"/>
      <c r="J104" s="1"/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522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>
        <v>0</v>
      </c>
      <c r="E108" s="111">
        <v>40</v>
      </c>
      <c r="F108" s="31"/>
      <c r="H108" s="1"/>
      <c r="I108" s="60" t="s">
        <v>133</v>
      </c>
      <c r="J108" s="50"/>
      <c r="L108">
        <v>1213</v>
      </c>
      <c r="M108" s="36"/>
    </row>
    <row r="109" spans="1:13" x14ac:dyDescent="0.2">
      <c r="A109" s="1"/>
      <c r="B109" s="228" t="s">
        <v>97</v>
      </c>
      <c r="C109" s="229"/>
      <c r="D109" s="15">
        <v>128</v>
      </c>
      <c r="E109" s="157"/>
      <c r="F109" s="31"/>
      <c r="I109" s="60" t="s">
        <v>212</v>
      </c>
      <c r="K109" s="29"/>
      <c r="L109" s="29">
        <v>950</v>
      </c>
      <c r="M109" s="36"/>
    </row>
    <row r="110" spans="1:13" x14ac:dyDescent="0.2">
      <c r="B110" s="194" t="s">
        <v>348</v>
      </c>
      <c r="C110" s="15"/>
      <c r="D110" s="15">
        <v>45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2</v>
      </c>
      <c r="E111" s="112"/>
      <c r="F111" s="160"/>
      <c r="I111" s="60" t="s">
        <v>145</v>
      </c>
      <c r="J111" s="50"/>
      <c r="K111" s="50"/>
      <c r="L111" s="47">
        <v>8</v>
      </c>
      <c r="M111" s="63"/>
    </row>
    <row r="112" spans="1:13" x14ac:dyDescent="0.2">
      <c r="A112" s="1"/>
      <c r="B112" s="232" t="s">
        <v>244</v>
      </c>
      <c r="C112" s="233"/>
      <c r="D112" s="15"/>
      <c r="E112" s="112">
        <v>89</v>
      </c>
      <c r="F112" s="160" t="s">
        <v>245</v>
      </c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18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9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2</v>
      </c>
      <c r="E115" s="115"/>
      <c r="F115" s="161"/>
      <c r="I115" s="87" t="s">
        <v>111</v>
      </c>
      <c r="J115" s="33"/>
      <c r="K115" s="88">
        <v>1174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496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>
        <v>43</v>
      </c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0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0</v>
      </c>
      <c r="E120" s="114">
        <v>85</v>
      </c>
      <c r="F120" s="163"/>
      <c r="I120" s="95" t="s">
        <v>22</v>
      </c>
      <c r="J120" s="86"/>
      <c r="K120" s="29">
        <v>1</v>
      </c>
      <c r="L120" s="29">
        <v>2</v>
      </c>
      <c r="M120" s="94">
        <f>SUM(K120:L120)</f>
        <v>3</v>
      </c>
    </row>
    <row r="121" spans="1:13" x14ac:dyDescent="0.2">
      <c r="B121" s="100" t="s">
        <v>144</v>
      </c>
      <c r="D121" s="13">
        <v>0</v>
      </c>
      <c r="E121" s="111"/>
      <c r="F121" s="31"/>
      <c r="I121" s="171" t="s">
        <v>169</v>
      </c>
      <c r="J121" s="86"/>
      <c r="K121" s="29">
        <v>0</v>
      </c>
      <c r="L121" s="29">
        <v>0</v>
      </c>
      <c r="M121" s="94">
        <f>SUM(K121:L121)</f>
        <v>0</v>
      </c>
    </row>
    <row r="122" spans="1:13" x14ac:dyDescent="0.2">
      <c r="A122" s="1"/>
      <c r="B122" s="32" t="s">
        <v>159</v>
      </c>
      <c r="C122" s="13"/>
      <c r="D122" s="13">
        <v>1335</v>
      </c>
      <c r="E122" s="115"/>
      <c r="F122" s="162"/>
      <c r="I122" s="171" t="s">
        <v>170</v>
      </c>
      <c r="J122" s="86"/>
      <c r="K122" s="29">
        <v>1</v>
      </c>
      <c r="L122" s="29">
        <v>0</v>
      </c>
      <c r="M122" s="94">
        <f>SUM(K122:L122)</f>
        <v>1</v>
      </c>
    </row>
    <row r="123" spans="1:13" x14ac:dyDescent="0.2">
      <c r="A123" s="1"/>
      <c r="B123" s="101" t="s">
        <v>135</v>
      </c>
      <c r="C123" s="13"/>
      <c r="D123" s="13">
        <v>132</v>
      </c>
      <c r="E123" s="158"/>
      <c r="F123" s="162"/>
      <c r="I123" s="172" t="s">
        <v>23</v>
      </c>
      <c r="J123" s="173"/>
      <c r="K123" s="93">
        <v>36</v>
      </c>
      <c r="L123" s="93">
        <v>0</v>
      </c>
      <c r="M123" s="174">
        <f>SUM(K123:L123)</f>
        <v>36</v>
      </c>
    </row>
    <row r="124" spans="1:13" x14ac:dyDescent="0.2">
      <c r="A124" s="1"/>
      <c r="B124" s="101" t="s">
        <v>141</v>
      </c>
      <c r="C124" s="13"/>
      <c r="D124" s="13">
        <v>22</v>
      </c>
      <c r="E124" s="158"/>
      <c r="F124" s="162"/>
      <c r="I124" s="171" t="s">
        <v>146</v>
      </c>
      <c r="J124" s="86"/>
      <c r="K124" s="4">
        <v>0</v>
      </c>
      <c r="L124" s="4">
        <v>0</v>
      </c>
      <c r="M124" s="94">
        <f>SUM(K124:L124)</f>
        <v>0</v>
      </c>
    </row>
    <row r="125" spans="1:13" x14ac:dyDescent="0.2">
      <c r="A125" s="1"/>
      <c r="B125" s="101" t="s">
        <v>126</v>
      </c>
      <c r="C125" s="13"/>
      <c r="D125" s="13">
        <v>161</v>
      </c>
      <c r="E125" s="158"/>
      <c r="F125" s="162"/>
      <c r="I125" s="96" t="s">
        <v>274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>
        <v>14</v>
      </c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SUM(D107:D126)</f>
        <v>2433</v>
      </c>
      <c r="E127">
        <f>SUM(E107:E126)</f>
        <v>214</v>
      </c>
      <c r="I127" s="132" t="s">
        <v>106</v>
      </c>
      <c r="J127" s="139"/>
      <c r="K127" s="105">
        <v>2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2</v>
      </c>
      <c r="L128" s="79" t="s">
        <v>138</v>
      </c>
      <c r="M128" s="86"/>
    </row>
    <row r="129" spans="1:13" x14ac:dyDescent="0.2">
      <c r="B129" s="199"/>
      <c r="C129" s="1"/>
      <c r="I129" s="86"/>
      <c r="J129" s="86"/>
      <c r="K129" s="79"/>
      <c r="L129" s="79"/>
      <c r="M129" s="86"/>
    </row>
    <row r="130" spans="1:13" x14ac:dyDescent="0.2">
      <c r="B130" s="199"/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f>16+118</f>
        <v>134</v>
      </c>
      <c r="D134" s="29">
        <f>7+52</f>
        <v>59</v>
      </c>
      <c r="E134" s="29">
        <f>81+589</f>
        <v>670</v>
      </c>
      <c r="F134" s="4">
        <f>83+355</f>
        <v>438</v>
      </c>
      <c r="G134" s="4">
        <f>23+121</f>
        <v>144</v>
      </c>
      <c r="H134" s="4">
        <v>0</v>
      </c>
      <c r="I134" s="4">
        <f>9+47</f>
        <v>56</v>
      </c>
      <c r="J134" s="4">
        <f>16+252</f>
        <v>268</v>
      </c>
      <c r="K134" s="4">
        <f>76+342</f>
        <v>418</v>
      </c>
      <c r="L134" s="51">
        <f>SUM(C134:K134)</f>
        <v>2187</v>
      </c>
    </row>
    <row r="135" spans="1:13" x14ac:dyDescent="0.2">
      <c r="A135" s="31"/>
      <c r="B135" s="50" t="s">
        <v>9</v>
      </c>
      <c r="C135" s="169" t="s">
        <v>158</v>
      </c>
      <c r="D135" s="169" t="s">
        <v>158</v>
      </c>
      <c r="E135" s="169" t="s">
        <v>158</v>
      </c>
      <c r="F135" s="170">
        <f>18+80</f>
        <v>98</v>
      </c>
      <c r="G135" s="170" t="s">
        <v>158</v>
      </c>
      <c r="H135" s="170" t="s">
        <v>158</v>
      </c>
      <c r="I135" s="170" t="s">
        <v>158</v>
      </c>
      <c r="J135" s="170">
        <v>147</v>
      </c>
      <c r="K135" s="170">
        <v>0</v>
      </c>
      <c r="L135" s="51">
        <f>SUM(C135:K135)</f>
        <v>245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0</v>
      </c>
      <c r="E136" s="155">
        <v>1</v>
      </c>
      <c r="F136" s="155">
        <v>6</v>
      </c>
      <c r="G136" s="155">
        <v>0</v>
      </c>
      <c r="H136" s="155">
        <v>0</v>
      </c>
      <c r="I136" s="168" t="s">
        <v>158</v>
      </c>
      <c r="J136" s="155">
        <v>3</v>
      </c>
      <c r="K136" s="155">
        <v>0</v>
      </c>
      <c r="L136" s="131">
        <f>SUM(C136:K136)</f>
        <v>10</v>
      </c>
    </row>
    <row r="137" spans="1:13" ht="13.5" thickTop="1" x14ac:dyDescent="0.2">
      <c r="A137" s="31"/>
      <c r="B137" s="50" t="s">
        <v>14</v>
      </c>
      <c r="C137" s="29">
        <f>SUM(C134:C136)</f>
        <v>134</v>
      </c>
      <c r="D137" s="29">
        <f>SUM(D134:D136)</f>
        <v>59</v>
      </c>
      <c r="E137" s="29">
        <f t="shared" ref="E137:L137" si="8">SUM(E134:E136)</f>
        <v>671</v>
      </c>
      <c r="F137" s="29">
        <f t="shared" si="8"/>
        <v>542</v>
      </c>
      <c r="G137" s="29">
        <f t="shared" si="8"/>
        <v>144</v>
      </c>
      <c r="H137" s="29">
        <f t="shared" si="8"/>
        <v>0</v>
      </c>
      <c r="I137" s="29">
        <f t="shared" si="8"/>
        <v>56</v>
      </c>
      <c r="J137" s="29">
        <f t="shared" si="8"/>
        <v>418</v>
      </c>
      <c r="K137" s="29">
        <f t="shared" si="8"/>
        <v>418</v>
      </c>
      <c r="L137" s="42">
        <f t="shared" si="8"/>
        <v>2442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46"/>
      <c r="B143" s="20"/>
      <c r="C143" s="20"/>
      <c r="D143" s="20"/>
      <c r="E143" s="20"/>
      <c r="F143" s="21"/>
      <c r="G143" s="127" t="s">
        <v>329</v>
      </c>
      <c r="H143" s="22"/>
      <c r="I143" s="68"/>
      <c r="J143" s="69"/>
      <c r="K143" s="70"/>
      <c r="L143" s="70"/>
      <c r="M143" s="103"/>
    </row>
    <row r="144" spans="1:13" x14ac:dyDescent="0.2">
      <c r="B144" s="20"/>
      <c r="C144" s="20"/>
      <c r="D144" s="20"/>
      <c r="E144" s="20"/>
      <c r="F144" s="68"/>
      <c r="G144" s="127" t="s">
        <v>330</v>
      </c>
      <c r="H144" s="68"/>
      <c r="I144" s="68"/>
      <c r="J144" s="68"/>
      <c r="K144" s="71"/>
      <c r="L144" s="71"/>
      <c r="M144" s="72"/>
    </row>
    <row r="145" spans="1:13" x14ac:dyDescent="0.2">
      <c r="A145" s="27" t="s">
        <v>154</v>
      </c>
      <c r="B145" s="20"/>
      <c r="C145" s="20"/>
      <c r="D145" s="20"/>
      <c r="E145" s="20"/>
      <c r="F145" s="21"/>
      <c r="G145" s="127" t="s">
        <v>338</v>
      </c>
      <c r="H145" s="68"/>
      <c r="I145" s="68"/>
      <c r="J145" s="68"/>
      <c r="K145" s="71"/>
      <c r="L145" s="71"/>
      <c r="M145" s="72"/>
    </row>
    <row r="146" spans="1:13" x14ac:dyDescent="0.2">
      <c r="A146" s="125" t="s">
        <v>352</v>
      </c>
      <c r="B146" s="29"/>
      <c r="C146" s="29"/>
      <c r="D146" s="29"/>
      <c r="E146" s="29"/>
      <c r="F146" s="29"/>
      <c r="G146" s="127" t="s">
        <v>342</v>
      </c>
      <c r="H146" s="29"/>
      <c r="I146" s="29"/>
      <c r="J146" s="29"/>
      <c r="K146" s="29"/>
      <c r="L146" s="29"/>
      <c r="M146" s="36"/>
    </row>
    <row r="147" spans="1:13" ht="18" x14ac:dyDescent="0.25">
      <c r="A147" s="126" t="s">
        <v>331</v>
      </c>
      <c r="B147" s="74"/>
      <c r="C147" s="20"/>
      <c r="D147" s="20"/>
      <c r="E147" s="20"/>
      <c r="F147" s="68"/>
      <c r="H147" s="68"/>
      <c r="I147" s="22"/>
      <c r="J147" s="45"/>
      <c r="K147" s="20"/>
      <c r="L147" s="20"/>
      <c r="M147" s="23"/>
    </row>
    <row r="148" spans="1:13" ht="18" x14ac:dyDescent="0.25">
      <c r="A148" s="125" t="s">
        <v>337</v>
      </c>
      <c r="B148" s="20"/>
      <c r="C148" s="20"/>
      <c r="D148" s="20"/>
      <c r="E148" s="20"/>
      <c r="F148" s="68"/>
      <c r="G148" s="28" t="s">
        <v>101</v>
      </c>
      <c r="H148" s="22"/>
      <c r="I148" s="68"/>
      <c r="J148" s="68"/>
      <c r="K148" s="20"/>
      <c r="L148" s="20"/>
      <c r="M148" s="23"/>
    </row>
    <row r="149" spans="1:13" ht="18" x14ac:dyDescent="0.25">
      <c r="A149" s="125" t="s">
        <v>341</v>
      </c>
      <c r="B149" s="74"/>
      <c r="C149" s="20"/>
      <c r="D149" s="20"/>
      <c r="E149" s="20"/>
      <c r="F149" s="20"/>
      <c r="G149" s="127" t="s">
        <v>332</v>
      </c>
      <c r="H149" s="22"/>
      <c r="I149" s="22"/>
      <c r="J149" s="22"/>
      <c r="K149" s="22"/>
      <c r="L149" s="20"/>
      <c r="M149" s="23"/>
    </row>
    <row r="150" spans="1:13" x14ac:dyDescent="0.2">
      <c r="A150" s="126" t="s">
        <v>339</v>
      </c>
      <c r="B150" s="28"/>
      <c r="C150" s="28"/>
      <c r="D150" s="20"/>
      <c r="E150" s="28"/>
      <c r="F150" s="77"/>
      <c r="H150" s="29"/>
      <c r="I150" s="68"/>
      <c r="J150" s="68"/>
      <c r="K150" s="20"/>
      <c r="L150" s="20"/>
      <c r="M150" s="23"/>
    </row>
    <row r="151" spans="1:13" x14ac:dyDescent="0.2">
      <c r="A151" s="125" t="s">
        <v>353</v>
      </c>
      <c r="B151" s="20"/>
      <c r="C151" s="20"/>
      <c r="D151" s="20"/>
      <c r="E151" s="20"/>
      <c r="F151" s="77"/>
      <c r="H151" s="29"/>
      <c r="I151" s="68"/>
      <c r="J151" s="68"/>
      <c r="K151" s="20"/>
      <c r="L151" s="20"/>
      <c r="M151" s="23"/>
    </row>
    <row r="152" spans="1:13" x14ac:dyDescent="0.2">
      <c r="A152" s="46"/>
      <c r="B152" s="20"/>
      <c r="C152" s="20"/>
      <c r="D152" s="20"/>
      <c r="E152" s="20"/>
      <c r="F152" s="77"/>
      <c r="G152" s="109" t="s">
        <v>156</v>
      </c>
      <c r="K152" s="20"/>
      <c r="L152" s="20"/>
      <c r="M152" s="23"/>
    </row>
    <row r="153" spans="1:13" ht="18" x14ac:dyDescent="0.25">
      <c r="A153" s="116" t="s">
        <v>157</v>
      </c>
      <c r="B153" s="29"/>
      <c r="C153" s="29"/>
      <c r="D153" s="29"/>
      <c r="E153" s="29"/>
      <c r="F153" s="21"/>
      <c r="G153" s="127" t="s">
        <v>354</v>
      </c>
      <c r="H153" s="29"/>
      <c r="I153" s="22"/>
      <c r="J153" s="22"/>
      <c r="K153" s="20"/>
      <c r="L153" s="20"/>
      <c r="M153" s="23"/>
    </row>
    <row r="154" spans="1:13" x14ac:dyDescent="0.2">
      <c r="A154" s="126" t="s">
        <v>191</v>
      </c>
      <c r="B154" s="20"/>
      <c r="C154" s="20"/>
      <c r="D154" s="20"/>
      <c r="E154" s="20"/>
      <c r="F154" s="21"/>
      <c r="G154" s="205" t="s">
        <v>355</v>
      </c>
      <c r="H154" s="29"/>
      <c r="I154" s="68"/>
      <c r="J154" s="68"/>
      <c r="K154" s="71"/>
      <c r="L154" s="71"/>
      <c r="M154" s="72"/>
    </row>
    <row r="155" spans="1:13" x14ac:dyDescent="0.2">
      <c r="A155" s="126" t="s">
        <v>334</v>
      </c>
      <c r="B155" s="20"/>
      <c r="C155" s="20"/>
      <c r="D155" s="20"/>
      <c r="E155" s="20"/>
      <c r="F155" s="21"/>
      <c r="G155" s="127"/>
      <c r="H155" s="29"/>
      <c r="I155" s="68"/>
      <c r="J155" s="68"/>
      <c r="K155" s="71"/>
      <c r="L155" s="71"/>
      <c r="M155" s="72"/>
    </row>
    <row r="156" spans="1:13" x14ac:dyDescent="0.2">
      <c r="A156" s="126" t="s">
        <v>336</v>
      </c>
      <c r="B156" s="20"/>
      <c r="C156" s="20"/>
      <c r="D156" s="20"/>
      <c r="E156" s="20"/>
      <c r="F156" s="21"/>
      <c r="G156" s="178"/>
      <c r="H156" s="29"/>
      <c r="I156" s="68"/>
      <c r="J156" s="68"/>
      <c r="K156" s="71"/>
      <c r="L156" s="71"/>
      <c r="M156" s="72"/>
    </row>
    <row r="157" spans="1:13" ht="18" x14ac:dyDescent="0.25">
      <c r="A157" s="125"/>
      <c r="B157" s="20"/>
      <c r="C157" s="20"/>
      <c r="D157" s="20"/>
      <c r="E157" s="20"/>
      <c r="F157" s="21"/>
      <c r="G157" s="178"/>
      <c r="H157" s="29"/>
      <c r="I157" s="22"/>
      <c r="J157" s="22"/>
      <c r="K157" s="71"/>
      <c r="L157" s="71"/>
      <c r="M157" s="72"/>
    </row>
    <row r="158" spans="1:13" x14ac:dyDescent="0.2">
      <c r="A158" s="125"/>
      <c r="B158" s="20"/>
      <c r="C158" s="20"/>
      <c r="D158" s="29"/>
      <c r="E158" s="29"/>
      <c r="F158" s="29"/>
      <c r="G158" s="28" t="s">
        <v>155</v>
      </c>
      <c r="H158" s="29"/>
      <c r="I158" s="29"/>
      <c r="J158" s="29"/>
      <c r="K158" s="29"/>
      <c r="L158" s="29"/>
      <c r="M158" s="36"/>
    </row>
    <row r="159" spans="1:13" x14ac:dyDescent="0.2">
      <c r="A159" s="125"/>
      <c r="B159" s="20"/>
      <c r="C159" s="20"/>
      <c r="D159" s="20"/>
      <c r="E159" s="20"/>
      <c r="F159" s="21"/>
      <c r="G159" s="175" t="s">
        <v>335</v>
      </c>
      <c r="H159" s="29"/>
      <c r="I159" s="29"/>
      <c r="J159" s="29"/>
      <c r="K159" s="71"/>
      <c r="L159" s="71"/>
      <c r="M159" s="72"/>
    </row>
    <row r="160" spans="1:13" x14ac:dyDescent="0.2">
      <c r="A160" s="125"/>
      <c r="B160" s="28"/>
      <c r="C160" s="28"/>
      <c r="D160" s="20"/>
      <c r="E160" s="20"/>
      <c r="F160" s="21"/>
      <c r="G160" s="178" t="s">
        <v>340</v>
      </c>
      <c r="H160" s="29"/>
      <c r="I160" s="68"/>
      <c r="J160" s="68"/>
      <c r="K160" s="71"/>
      <c r="L160" s="71"/>
      <c r="M160" s="72"/>
    </row>
    <row r="161" spans="1:13" x14ac:dyDescent="0.2">
      <c r="A161" s="125"/>
      <c r="B161" s="20"/>
      <c r="C161" s="20"/>
      <c r="D161" s="20"/>
      <c r="E161" s="74"/>
      <c r="F161" s="20"/>
      <c r="G161" s="178" t="s">
        <v>343</v>
      </c>
      <c r="H161" s="29"/>
      <c r="I161" s="20"/>
      <c r="J161" s="68"/>
      <c r="K161" s="29"/>
      <c r="L161" s="29"/>
      <c r="M161" s="36"/>
    </row>
    <row r="162" spans="1:13" ht="18" x14ac:dyDescent="0.25">
      <c r="A162" s="31"/>
      <c r="B162" s="20"/>
      <c r="C162" s="20"/>
      <c r="D162" s="20"/>
      <c r="E162" s="20"/>
      <c r="F162" s="21"/>
      <c r="G162" s="178"/>
      <c r="H162" s="29"/>
      <c r="I162" s="22"/>
      <c r="J162" s="22"/>
      <c r="K162" s="20"/>
      <c r="L162" s="20"/>
      <c r="M162" s="23"/>
    </row>
    <row r="163" spans="1:13" ht="18" x14ac:dyDescent="0.25">
      <c r="A163" s="31"/>
      <c r="B163" s="20"/>
      <c r="C163" s="20"/>
      <c r="D163" s="20"/>
      <c r="E163" s="74"/>
      <c r="F163" s="68"/>
      <c r="H163" s="69"/>
      <c r="I163" s="68"/>
      <c r="J163" s="69"/>
      <c r="K163" s="70"/>
      <c r="L163" s="70"/>
      <c r="M163" s="23"/>
    </row>
    <row r="164" spans="1:13" ht="18" x14ac:dyDescent="0.25">
      <c r="A164" s="107"/>
      <c r="B164" s="24"/>
      <c r="C164" s="24"/>
      <c r="D164" s="24"/>
      <c r="E164" s="102"/>
      <c r="F164" s="76"/>
      <c r="G164" s="108"/>
      <c r="H164" s="108"/>
      <c r="I164" s="76"/>
      <c r="J164" s="108"/>
      <c r="K164" s="75"/>
      <c r="L164" s="75"/>
      <c r="M164" s="99"/>
    </row>
    <row r="165" spans="1:13" x14ac:dyDescent="0.2">
      <c r="A165" s="74"/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0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19:C119"/>
    <mergeCell ref="B108:C108"/>
    <mergeCell ref="B109:C109"/>
    <mergeCell ref="B112:C112"/>
    <mergeCell ref="B116:C116"/>
    <mergeCell ref="B117:C117"/>
    <mergeCell ref="B118:C118"/>
  </mergeCells>
  <pageMargins left="0.5" right="0.5" top="0.5" bottom="0.5" header="0.3" footer="0.5"/>
  <pageSetup scale="97" fitToHeight="0" orientation="landscape" r:id="rId1"/>
  <headerFooter>
    <oddHeader>&amp;C
&amp;RJan..
 2017
 - Page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topLeftCell="A9" zoomScaleNormal="100" workbookViewId="0">
      <selection activeCell="D10" sqref="D10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 t="s">
        <v>344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78</v>
      </c>
      <c r="D7" s="29">
        <v>20</v>
      </c>
      <c r="E7" s="29">
        <v>235</v>
      </c>
      <c r="F7" s="61">
        <v>495</v>
      </c>
      <c r="G7" s="61">
        <v>118</v>
      </c>
      <c r="H7" s="61">
        <v>7</v>
      </c>
      <c r="I7" s="61">
        <v>0</v>
      </c>
      <c r="J7" s="61">
        <v>543</v>
      </c>
      <c r="K7" s="61">
        <v>37</v>
      </c>
      <c r="L7" s="166" t="s">
        <v>158</v>
      </c>
      <c r="M7" s="51">
        <f>SUM(C7:L7)</f>
        <v>1533</v>
      </c>
    </row>
    <row r="8" spans="1:18" x14ac:dyDescent="0.2">
      <c r="A8" s="31"/>
      <c r="B8" s="47" t="s">
        <v>146</v>
      </c>
      <c r="C8" s="29">
        <v>10</v>
      </c>
      <c r="D8" s="29">
        <v>0</v>
      </c>
      <c r="E8" s="29">
        <v>15</v>
      </c>
      <c r="F8" s="61">
        <v>37</v>
      </c>
      <c r="G8" s="61">
        <v>11</v>
      </c>
      <c r="H8" s="61">
        <v>0</v>
      </c>
      <c r="I8" s="61">
        <v>0</v>
      </c>
      <c r="J8" s="61">
        <v>69</v>
      </c>
      <c r="K8" s="61">
        <v>1</v>
      </c>
      <c r="L8" s="167">
        <v>30</v>
      </c>
      <c r="M8" s="51">
        <f>SUM(C8:L8)</f>
        <v>173</v>
      </c>
    </row>
    <row r="9" spans="1:18" ht="13.5" thickBot="1" x14ac:dyDescent="0.25">
      <c r="A9" s="31"/>
      <c r="B9" s="47" t="s">
        <v>147</v>
      </c>
      <c r="C9" s="3">
        <v>12</v>
      </c>
      <c r="D9" s="3">
        <v>0</v>
      </c>
      <c r="E9" s="3">
        <v>6</v>
      </c>
      <c r="F9" s="3">
        <v>60</v>
      </c>
      <c r="G9" s="3">
        <v>3</v>
      </c>
      <c r="H9" s="3">
        <v>0</v>
      </c>
      <c r="I9" s="3">
        <v>0</v>
      </c>
      <c r="J9" s="3">
        <v>50</v>
      </c>
      <c r="K9" s="3">
        <v>2</v>
      </c>
      <c r="L9" s="168" t="s">
        <v>158</v>
      </c>
      <c r="M9" s="51">
        <f>SUM(C9:L9)</f>
        <v>133</v>
      </c>
    </row>
    <row r="10" spans="1:18" ht="13.5" thickTop="1" x14ac:dyDescent="0.2">
      <c r="A10" s="41"/>
      <c r="B10" s="55" t="s">
        <v>14</v>
      </c>
      <c r="C10" s="38">
        <f>SUM(C7:C9)</f>
        <v>100</v>
      </c>
      <c r="D10" s="38">
        <f>SUM(D7:D9)</f>
        <v>20</v>
      </c>
      <c r="E10" s="38">
        <f>SUM(E7:E9)</f>
        <v>256</v>
      </c>
      <c r="F10" s="38">
        <f>SUM(F7:F9)</f>
        <v>592</v>
      </c>
      <c r="G10" s="38">
        <f>SUM(G7:G9)</f>
        <v>132</v>
      </c>
      <c r="H10" s="38">
        <f t="shared" ref="H10:I10" si="0">SUM(H7,H9)</f>
        <v>7</v>
      </c>
      <c r="I10" s="38">
        <f t="shared" si="0"/>
        <v>0</v>
      </c>
      <c r="J10" s="38">
        <f>SUM(J7:J9)</f>
        <v>662</v>
      </c>
      <c r="K10" s="38">
        <f>SUM(K7:K9)</f>
        <v>40</v>
      </c>
      <c r="L10" s="38">
        <f>SUM(L7:L9)</f>
        <v>30</v>
      </c>
      <c r="M10" s="39">
        <f>SUM(C10:L10)</f>
        <v>1839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3369</v>
      </c>
      <c r="D12" s="123">
        <v>82</v>
      </c>
      <c r="E12" s="123">
        <v>14337</v>
      </c>
      <c r="F12" s="123">
        <v>11832</v>
      </c>
      <c r="G12" s="123">
        <v>9280</v>
      </c>
      <c r="H12" s="123">
        <v>104</v>
      </c>
      <c r="I12" s="123">
        <v>60</v>
      </c>
      <c r="J12" s="123">
        <v>11141</v>
      </c>
      <c r="K12" s="123">
        <v>1886</v>
      </c>
      <c r="L12" s="123" t="s">
        <v>158</v>
      </c>
      <c r="M12" s="124">
        <f>SUM(C12:K12)</f>
        <v>52091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77</v>
      </c>
      <c r="D19" s="29">
        <v>1</v>
      </c>
      <c r="E19" s="29">
        <v>116</v>
      </c>
      <c r="F19" s="4">
        <v>209</v>
      </c>
      <c r="G19" s="4">
        <v>85</v>
      </c>
      <c r="H19" s="4">
        <v>1</v>
      </c>
      <c r="I19" s="4">
        <v>5</v>
      </c>
      <c r="J19" s="4">
        <v>65</v>
      </c>
      <c r="K19" s="4">
        <v>43</v>
      </c>
      <c r="L19" s="36">
        <f>SUM(C19:K19)</f>
        <v>602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0</v>
      </c>
      <c r="D21" s="4">
        <v>1</v>
      </c>
      <c r="E21" s="4">
        <v>18</v>
      </c>
      <c r="F21" s="4">
        <v>17</v>
      </c>
      <c r="G21" s="4">
        <v>19</v>
      </c>
      <c r="H21" s="4">
        <v>1</v>
      </c>
      <c r="I21" s="4">
        <v>0</v>
      </c>
      <c r="J21" s="4">
        <v>30</v>
      </c>
      <c r="K21" s="4">
        <v>0</v>
      </c>
      <c r="L21" s="51">
        <f>SUM(C21:K21)</f>
        <v>86</v>
      </c>
    </row>
    <row r="22" spans="1:13" x14ac:dyDescent="0.2">
      <c r="A22" s="31"/>
      <c r="B22" s="29" t="s">
        <v>10</v>
      </c>
      <c r="C22" s="4">
        <v>6</v>
      </c>
      <c r="D22" s="4">
        <v>4</v>
      </c>
      <c r="E22" s="4">
        <v>14</v>
      </c>
      <c r="F22" s="4">
        <v>59</v>
      </c>
      <c r="G22" s="4">
        <v>20</v>
      </c>
      <c r="H22" s="4">
        <v>2</v>
      </c>
      <c r="I22" s="4">
        <v>2</v>
      </c>
      <c r="J22" s="4">
        <v>26</v>
      </c>
      <c r="K22" s="4">
        <v>4</v>
      </c>
      <c r="L22" s="51">
        <f>SUM(C22:K22)</f>
        <v>137</v>
      </c>
    </row>
    <row r="23" spans="1:13" ht="13.5" thickBot="1" x14ac:dyDescent="0.25">
      <c r="A23" s="31"/>
      <c r="B23" s="29" t="s">
        <v>9</v>
      </c>
      <c r="C23" s="3">
        <v>127</v>
      </c>
      <c r="D23" s="3">
        <v>83</v>
      </c>
      <c r="E23" s="3">
        <v>292</v>
      </c>
      <c r="F23" s="3">
        <v>323</v>
      </c>
      <c r="G23" s="3">
        <v>171</v>
      </c>
      <c r="H23" s="3">
        <v>12</v>
      </c>
      <c r="I23" s="3">
        <v>12</v>
      </c>
      <c r="J23" s="3">
        <v>594</v>
      </c>
      <c r="K23" s="3">
        <v>165</v>
      </c>
      <c r="L23" s="49">
        <f>SUM(C23:K23)</f>
        <v>1779</v>
      </c>
    </row>
    <row r="24" spans="1:13" ht="13.5" thickTop="1" x14ac:dyDescent="0.2">
      <c r="A24" s="31"/>
      <c r="B24" s="50" t="s">
        <v>14</v>
      </c>
      <c r="C24" s="29">
        <f>SUM(C19:C23)</f>
        <v>211</v>
      </c>
      <c r="D24" s="29">
        <f t="shared" ref="D24:L24" si="1">SUM(D19:D23)</f>
        <v>89</v>
      </c>
      <c r="E24" s="29">
        <f t="shared" si="1"/>
        <v>441</v>
      </c>
      <c r="F24" s="29">
        <f t="shared" si="1"/>
        <v>608</v>
      </c>
      <c r="G24" s="29">
        <f t="shared" si="1"/>
        <v>296</v>
      </c>
      <c r="H24" s="29">
        <f t="shared" si="1"/>
        <v>16</v>
      </c>
      <c r="I24" s="29">
        <f t="shared" si="1"/>
        <v>19</v>
      </c>
      <c r="J24" s="29">
        <f t="shared" si="1"/>
        <v>715</v>
      </c>
      <c r="K24" s="29">
        <f t="shared" si="1"/>
        <v>217</v>
      </c>
      <c r="L24" s="36">
        <f t="shared" si="1"/>
        <v>2612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132</v>
      </c>
      <c r="M26" s="156" t="s">
        <v>14</v>
      </c>
    </row>
    <row r="27" spans="1:13" x14ac:dyDescent="0.2">
      <c r="A27" s="132" t="s">
        <v>34</v>
      </c>
      <c r="B27" s="139"/>
      <c r="C27" s="73">
        <v>0</v>
      </c>
      <c r="D27" s="73">
        <v>0</v>
      </c>
      <c r="E27" s="73">
        <v>30.25</v>
      </c>
      <c r="F27" s="73">
        <v>18.75</v>
      </c>
      <c r="G27" s="73">
        <v>57.15</v>
      </c>
      <c r="H27" s="73">
        <v>0</v>
      </c>
      <c r="I27" s="73">
        <v>0</v>
      </c>
      <c r="J27" s="73">
        <v>61.75</v>
      </c>
      <c r="K27" s="73">
        <v>5</v>
      </c>
      <c r="L27" s="73"/>
      <c r="M27" s="118">
        <f>SUM(C27:L27)</f>
        <v>172.9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38</v>
      </c>
      <c r="D31" s="29">
        <v>10</v>
      </c>
      <c r="E31" s="29">
        <v>118</v>
      </c>
      <c r="F31" s="4">
        <v>214</v>
      </c>
      <c r="G31" s="4">
        <v>155</v>
      </c>
      <c r="H31" s="4">
        <v>144</v>
      </c>
      <c r="I31" s="4"/>
      <c r="J31" s="4">
        <v>195</v>
      </c>
      <c r="K31" s="4">
        <v>74</v>
      </c>
      <c r="L31" s="51">
        <f t="shared" ref="L31:L36" si="2">SUM(C31:K31)</f>
        <v>948</v>
      </c>
    </row>
    <row r="32" spans="1:13" x14ac:dyDescent="0.2">
      <c r="B32" s="60" t="s">
        <v>18</v>
      </c>
      <c r="C32" s="29">
        <v>20</v>
      </c>
      <c r="D32" s="29">
        <v>3</v>
      </c>
      <c r="E32" s="29">
        <v>26</v>
      </c>
      <c r="F32" s="4">
        <v>38</v>
      </c>
      <c r="G32" s="4">
        <v>43</v>
      </c>
      <c r="H32" s="4">
        <v>1</v>
      </c>
      <c r="I32" s="4"/>
      <c r="J32" s="4">
        <v>66</v>
      </c>
      <c r="K32" s="4">
        <v>17</v>
      </c>
      <c r="L32" s="51">
        <f t="shared" si="2"/>
        <v>214</v>
      </c>
    </row>
    <row r="33" spans="1:12" x14ac:dyDescent="0.2">
      <c r="B33" s="60" t="s">
        <v>20</v>
      </c>
      <c r="C33" s="29">
        <f>176</f>
        <v>176</v>
      </c>
      <c r="D33" s="29">
        <v>260</v>
      </c>
      <c r="E33" s="29">
        <v>657</v>
      </c>
      <c r="F33" s="29">
        <v>304</v>
      </c>
      <c r="G33" s="4">
        <v>240</v>
      </c>
      <c r="H33" s="4">
        <v>0</v>
      </c>
      <c r="I33" s="4"/>
      <c r="J33" s="4">
        <v>470</v>
      </c>
      <c r="K33" s="4">
        <v>395</v>
      </c>
      <c r="L33" s="51">
        <f t="shared" si="2"/>
        <v>2502</v>
      </c>
    </row>
    <row r="34" spans="1:12" x14ac:dyDescent="0.2">
      <c r="B34" s="60" t="s">
        <v>108</v>
      </c>
      <c r="C34" s="4">
        <f>30+73</f>
        <v>103</v>
      </c>
      <c r="D34" s="4">
        <f>17+51</f>
        <v>68</v>
      </c>
      <c r="E34" s="4">
        <f>14+16</f>
        <v>30</v>
      </c>
      <c r="F34" s="4">
        <f>29+20</f>
        <v>49</v>
      </c>
      <c r="G34" s="4">
        <f>20+29</f>
        <v>49</v>
      </c>
      <c r="H34" s="4">
        <f>19+54</f>
        <v>73</v>
      </c>
      <c r="I34" s="4"/>
      <c r="J34">
        <f>15+57</f>
        <v>72</v>
      </c>
      <c r="K34" s="4">
        <f>89+37</f>
        <v>126</v>
      </c>
      <c r="L34" s="51">
        <f t="shared" si="2"/>
        <v>570</v>
      </c>
    </row>
    <row r="35" spans="1:12" ht="13.5" thickBot="1" x14ac:dyDescent="0.25">
      <c r="B35" s="119" t="s">
        <v>19</v>
      </c>
      <c r="C35" s="3">
        <f>C76</f>
        <v>33</v>
      </c>
      <c r="D35" s="3">
        <f>D76</f>
        <v>18</v>
      </c>
      <c r="E35" s="3">
        <f t="shared" ref="E35:K35" si="3">E76</f>
        <v>100</v>
      </c>
      <c r="F35" s="3">
        <f t="shared" si="3"/>
        <v>69</v>
      </c>
      <c r="G35" s="3">
        <f t="shared" si="3"/>
        <v>56</v>
      </c>
      <c r="H35" s="3">
        <f t="shared" si="3"/>
        <v>17</v>
      </c>
      <c r="I35" s="3">
        <f t="shared" si="3"/>
        <v>0</v>
      </c>
      <c r="J35" s="3">
        <f t="shared" si="3"/>
        <v>180</v>
      </c>
      <c r="K35" s="3">
        <f t="shared" si="3"/>
        <v>39</v>
      </c>
      <c r="L35" s="117">
        <f t="shared" si="2"/>
        <v>512</v>
      </c>
    </row>
    <row r="36" spans="1:12" ht="13.5" thickTop="1" x14ac:dyDescent="0.2">
      <c r="B36" s="58" t="s">
        <v>14</v>
      </c>
      <c r="C36" s="38">
        <f t="shared" ref="C36:K36" si="4">SUM(C31:C35)</f>
        <v>370</v>
      </c>
      <c r="D36" s="38">
        <f t="shared" si="4"/>
        <v>359</v>
      </c>
      <c r="E36" s="38">
        <f t="shared" si="4"/>
        <v>931</v>
      </c>
      <c r="F36" s="38">
        <f t="shared" si="4"/>
        <v>674</v>
      </c>
      <c r="G36" s="38">
        <f>SUM(G31:G35)</f>
        <v>543</v>
      </c>
      <c r="H36" s="38">
        <f t="shared" si="4"/>
        <v>235</v>
      </c>
      <c r="I36" s="38">
        <f t="shared" si="4"/>
        <v>0</v>
      </c>
      <c r="J36" s="38">
        <f t="shared" si="4"/>
        <v>983</v>
      </c>
      <c r="K36" s="38">
        <f t="shared" si="4"/>
        <v>651</v>
      </c>
      <c r="L36" s="80">
        <f t="shared" si="2"/>
        <v>4746</v>
      </c>
    </row>
    <row r="38" spans="1:12" x14ac:dyDescent="0.2">
      <c r="A38" s="137" t="s">
        <v>56</v>
      </c>
      <c r="B38" s="138"/>
      <c r="C38" s="33">
        <v>8</v>
      </c>
      <c r="D38" s="33">
        <v>0</v>
      </c>
      <c r="E38" s="33">
        <v>14</v>
      </c>
      <c r="F38" s="56">
        <v>12</v>
      </c>
      <c r="G38" s="56">
        <v>11</v>
      </c>
      <c r="H38" s="56">
        <v>0</v>
      </c>
      <c r="I38" s="56">
        <v>0</v>
      </c>
      <c r="J38" s="56">
        <v>37</v>
      </c>
      <c r="K38" s="56">
        <v>0</v>
      </c>
      <c r="L38" s="120">
        <f>SUM(C38:K38)</f>
        <v>82</v>
      </c>
    </row>
    <row r="39" spans="1:12" ht="13.5" thickBot="1" x14ac:dyDescent="0.25">
      <c r="A39" s="60" t="s">
        <v>148</v>
      </c>
      <c r="B39" s="50"/>
      <c r="C39" s="3">
        <v>0</v>
      </c>
      <c r="D39" s="3">
        <v>0</v>
      </c>
      <c r="E39" s="3">
        <v>0</v>
      </c>
      <c r="F39" s="3">
        <v>75</v>
      </c>
      <c r="G39" s="3">
        <v>0</v>
      </c>
      <c r="H39" s="3">
        <v>16</v>
      </c>
      <c r="I39" s="3">
        <v>0</v>
      </c>
      <c r="J39" s="3">
        <v>412</v>
      </c>
      <c r="K39" s="3">
        <v>0</v>
      </c>
      <c r="L39" s="117">
        <f>SUM(C39:K39)</f>
        <v>503</v>
      </c>
    </row>
    <row r="40" spans="1:12" ht="13.5" thickTop="1" x14ac:dyDescent="0.2">
      <c r="A40" s="60"/>
      <c r="B40" s="50" t="s">
        <v>7</v>
      </c>
      <c r="C40" s="29">
        <f>SUM(C38:C39)</f>
        <v>8</v>
      </c>
      <c r="D40" s="29">
        <f t="shared" ref="D40:K40" si="5">SUM(D38:D39)</f>
        <v>0</v>
      </c>
      <c r="E40" s="29">
        <f t="shared" si="5"/>
        <v>14</v>
      </c>
      <c r="F40" s="29">
        <f t="shared" si="5"/>
        <v>87</v>
      </c>
      <c r="G40" s="29">
        <f t="shared" si="5"/>
        <v>11</v>
      </c>
      <c r="H40" s="179">
        <f>SUM(H38:H39)</f>
        <v>16</v>
      </c>
      <c r="I40" s="29">
        <f t="shared" si="5"/>
        <v>0</v>
      </c>
      <c r="J40" s="29">
        <f t="shared" si="5"/>
        <v>449</v>
      </c>
      <c r="K40" s="29">
        <f t="shared" si="5"/>
        <v>0</v>
      </c>
      <c r="L40" s="121">
        <f>SUM(L38:L39)</f>
        <v>585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11</v>
      </c>
      <c r="F42" s="123">
        <v>31</v>
      </c>
      <c r="G42" s="123">
        <v>0</v>
      </c>
      <c r="H42" s="123">
        <v>0</v>
      </c>
      <c r="I42" s="123">
        <v>0</v>
      </c>
      <c r="J42" s="123">
        <v>58</v>
      </c>
      <c r="K42" s="123">
        <v>0</v>
      </c>
      <c r="L42" s="124">
        <f>SUM(C42:K42)</f>
        <v>100</v>
      </c>
    </row>
    <row r="43" spans="1:12" x14ac:dyDescent="0.2">
      <c r="A43" s="29"/>
      <c r="K43" s="179"/>
    </row>
    <row r="44" spans="1:12" x14ac:dyDescent="0.2">
      <c r="A44" s="137" t="s">
        <v>357</v>
      </c>
      <c r="B44" s="142"/>
      <c r="C44" s="33"/>
      <c r="D44" s="33">
        <v>0</v>
      </c>
      <c r="E44" s="33"/>
      <c r="F44" s="33">
        <v>0</v>
      </c>
      <c r="G44" s="33">
        <v>0</v>
      </c>
      <c r="H44" s="33">
        <v>0</v>
      </c>
      <c r="I44" s="33"/>
      <c r="J44" s="33">
        <v>4</v>
      </c>
      <c r="K44" s="33">
        <v>0</v>
      </c>
      <c r="L44" s="34">
        <f>SUM(C44:K44)</f>
        <v>4</v>
      </c>
    </row>
    <row r="45" spans="1:12" x14ac:dyDescent="0.2">
      <c r="A45" s="58" t="s">
        <v>21</v>
      </c>
      <c r="B45" s="55"/>
      <c r="C45" s="38"/>
      <c r="D45" s="38">
        <v>0</v>
      </c>
      <c r="E45" s="38"/>
      <c r="F45" s="38">
        <v>0</v>
      </c>
      <c r="G45" s="38">
        <v>0</v>
      </c>
      <c r="H45" s="38">
        <v>0</v>
      </c>
      <c r="I45" s="38"/>
      <c r="J45" s="38">
        <v>77</v>
      </c>
      <c r="K45" s="38">
        <v>0</v>
      </c>
      <c r="L45" s="39">
        <f>SUM(C45:K45)</f>
        <v>77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>
        <v>4</v>
      </c>
      <c r="D49" s="122">
        <v>7</v>
      </c>
      <c r="E49" s="122">
        <v>4</v>
      </c>
      <c r="F49" s="129">
        <v>6</v>
      </c>
      <c r="G49" s="129">
        <v>7</v>
      </c>
      <c r="H49" s="129">
        <v>2</v>
      </c>
      <c r="I49" s="129"/>
      <c r="J49" s="129">
        <v>31</v>
      </c>
      <c r="K49" s="129">
        <v>4</v>
      </c>
      <c r="L49" s="130">
        <f t="shared" ref="L49:L75" si="6">SUM(C49:K49)</f>
        <v>65</v>
      </c>
    </row>
    <row r="50" spans="2:12" x14ac:dyDescent="0.2">
      <c r="B50" s="100" t="s">
        <v>113</v>
      </c>
      <c r="C50" s="122"/>
      <c r="D50" s="122"/>
      <c r="E50" s="129"/>
      <c r="F50" s="122"/>
      <c r="G50" s="122"/>
      <c r="H50" s="122"/>
      <c r="I50" s="122"/>
      <c r="J50" s="122">
        <v>0</v>
      </c>
      <c r="K50" s="122"/>
      <c r="L50" s="130">
        <f t="shared" si="6"/>
        <v>0</v>
      </c>
    </row>
    <row r="51" spans="2:12" x14ac:dyDescent="0.2">
      <c r="B51" s="100" t="s">
        <v>103</v>
      </c>
      <c r="C51" s="122"/>
      <c r="D51" s="122"/>
      <c r="E51" s="122"/>
      <c r="F51" s="122">
        <v>2</v>
      </c>
      <c r="G51" s="129"/>
      <c r="H51" s="129"/>
      <c r="I51" s="122"/>
      <c r="J51" s="122">
        <v>2</v>
      </c>
      <c r="K51" s="129"/>
      <c r="L51" s="130">
        <f t="shared" si="6"/>
        <v>4</v>
      </c>
    </row>
    <row r="52" spans="2:12" x14ac:dyDescent="0.2">
      <c r="B52" s="100" t="s">
        <v>137</v>
      </c>
      <c r="C52" s="122"/>
      <c r="D52" s="122">
        <v>4</v>
      </c>
      <c r="E52" s="122"/>
      <c r="F52" s="122"/>
      <c r="G52" s="129">
        <v>2</v>
      </c>
      <c r="H52" s="122"/>
      <c r="I52" s="122"/>
      <c r="J52" s="122">
        <v>4</v>
      </c>
      <c r="K52" s="129"/>
      <c r="L52" s="130">
        <f t="shared" si="6"/>
        <v>10</v>
      </c>
    </row>
    <row r="53" spans="2:12" x14ac:dyDescent="0.2">
      <c r="B53" s="100" t="s">
        <v>149</v>
      </c>
      <c r="C53" s="129"/>
      <c r="D53" s="122"/>
      <c r="E53" s="122"/>
      <c r="F53" s="122"/>
      <c r="G53" s="129"/>
      <c r="H53" s="122">
        <v>3</v>
      </c>
      <c r="I53" s="122"/>
      <c r="J53" s="122">
        <v>8</v>
      </c>
      <c r="K53" s="129"/>
      <c r="L53" s="130">
        <f t="shared" si="6"/>
        <v>11</v>
      </c>
    </row>
    <row r="54" spans="2:12" x14ac:dyDescent="0.2">
      <c r="B54" s="100" t="s">
        <v>104</v>
      </c>
      <c r="C54" s="129"/>
      <c r="D54" s="122"/>
      <c r="E54" s="129"/>
      <c r="F54" s="129"/>
      <c r="G54" s="129"/>
      <c r="H54" s="122"/>
      <c r="I54" s="122"/>
      <c r="J54" s="122">
        <v>2</v>
      </c>
      <c r="K54" s="122"/>
      <c r="L54" s="130">
        <f t="shared" si="6"/>
        <v>2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/>
      <c r="D56" s="122"/>
      <c r="E56" s="129"/>
      <c r="F56" s="129"/>
      <c r="G56" s="129"/>
      <c r="H56" s="129"/>
      <c r="I56" s="129"/>
      <c r="J56" s="129"/>
      <c r="K56" s="129"/>
      <c r="L56" s="130">
        <f t="shared" si="6"/>
        <v>0</v>
      </c>
    </row>
    <row r="57" spans="2:12" x14ac:dyDescent="0.2">
      <c r="B57" s="100" t="s">
        <v>124</v>
      </c>
      <c r="C57" s="122"/>
      <c r="D57" s="122"/>
      <c r="E57" s="122"/>
      <c r="F57" s="129"/>
      <c r="G57" s="122"/>
      <c r="H57" s="129"/>
      <c r="I57" s="122"/>
      <c r="J57" s="122"/>
      <c r="K57" s="129"/>
      <c r="L57" s="130">
        <f t="shared" si="6"/>
        <v>0</v>
      </c>
    </row>
    <row r="58" spans="2:12" x14ac:dyDescent="0.2">
      <c r="B58" s="100" t="s">
        <v>102</v>
      </c>
      <c r="C58" s="122"/>
      <c r="D58" s="122"/>
      <c r="E58" s="129"/>
      <c r="F58" s="129"/>
      <c r="G58" s="129"/>
      <c r="H58" s="129"/>
      <c r="I58" s="122"/>
      <c r="J58" s="122"/>
      <c r="K58" s="129"/>
      <c r="L58" s="130">
        <f t="shared" si="6"/>
        <v>0</v>
      </c>
    </row>
    <row r="59" spans="2:12" x14ac:dyDescent="0.2">
      <c r="B59" s="100" t="s">
        <v>105</v>
      </c>
      <c r="C59" s="122">
        <v>1</v>
      </c>
      <c r="D59" s="122"/>
      <c r="E59" s="129">
        <v>12</v>
      </c>
      <c r="F59" s="129"/>
      <c r="G59" s="129">
        <v>3</v>
      </c>
      <c r="H59" s="129"/>
      <c r="I59" s="122"/>
      <c r="J59" s="122">
        <v>13</v>
      </c>
      <c r="K59" s="129"/>
      <c r="L59" s="130">
        <f t="shared" si="6"/>
        <v>29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6"/>
        <v>0</v>
      </c>
    </row>
    <row r="61" spans="2:12" x14ac:dyDescent="0.2">
      <c r="B61" s="111" t="s">
        <v>41</v>
      </c>
      <c r="C61" s="122"/>
      <c r="D61" s="122">
        <v>1</v>
      </c>
      <c r="E61" s="129">
        <v>7</v>
      </c>
      <c r="F61" s="129">
        <v>8</v>
      </c>
      <c r="G61" s="129">
        <v>9</v>
      </c>
      <c r="H61" s="129"/>
      <c r="I61" s="129"/>
      <c r="J61" s="129">
        <v>8</v>
      </c>
      <c r="K61" s="129"/>
      <c r="L61" s="130">
        <f t="shared" si="6"/>
        <v>33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6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/>
      <c r="H64" s="129"/>
      <c r="I64" s="129"/>
      <c r="J64" s="129"/>
      <c r="K64" s="129"/>
      <c r="L64" s="130">
        <f t="shared" si="6"/>
        <v>0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>
        <v>4</v>
      </c>
      <c r="I65" s="129"/>
      <c r="J65" s="129"/>
      <c r="K65" s="129"/>
      <c r="L65" s="130">
        <f t="shared" si="6"/>
        <v>4</v>
      </c>
    </row>
    <row r="66" spans="1:13" x14ac:dyDescent="0.2">
      <c r="B66" s="111" t="s">
        <v>80</v>
      </c>
      <c r="C66" s="129">
        <v>18</v>
      </c>
      <c r="D66" s="129">
        <v>4</v>
      </c>
      <c r="E66" s="129">
        <v>32</v>
      </c>
      <c r="F66" s="129">
        <v>29</v>
      </c>
      <c r="G66" s="129">
        <v>25</v>
      </c>
      <c r="H66" s="129">
        <v>7</v>
      </c>
      <c r="I66" s="129"/>
      <c r="J66" s="129">
        <v>88</v>
      </c>
      <c r="K66" s="129">
        <v>27</v>
      </c>
      <c r="L66" s="130">
        <f t="shared" si="6"/>
        <v>230</v>
      </c>
    </row>
    <row r="67" spans="1:13" x14ac:dyDescent="0.2">
      <c r="B67" s="100" t="s">
        <v>151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30">
        <f t="shared" si="6"/>
        <v>0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>
        <v>2</v>
      </c>
      <c r="D69" s="122">
        <v>2</v>
      </c>
      <c r="E69" s="129">
        <v>37</v>
      </c>
      <c r="F69" s="129">
        <v>15</v>
      </c>
      <c r="G69" s="129"/>
      <c r="H69" s="129">
        <v>1</v>
      </c>
      <c r="I69" s="129"/>
      <c r="J69" s="129">
        <v>12</v>
      </c>
      <c r="K69" s="129"/>
      <c r="L69" s="130">
        <f t="shared" si="6"/>
        <v>69</v>
      </c>
    </row>
    <row r="70" spans="1:13" x14ac:dyDescent="0.2">
      <c r="B70" s="100" t="s">
        <v>152</v>
      </c>
      <c r="C70" s="129"/>
      <c r="D70" s="122"/>
      <c r="E70" s="129"/>
      <c r="F70" s="129"/>
      <c r="G70" s="129"/>
      <c r="H70" s="129"/>
      <c r="I70" s="129"/>
      <c r="J70" s="129"/>
      <c r="K70" s="129"/>
      <c r="L70" s="130">
        <f t="shared" si="6"/>
        <v>0</v>
      </c>
    </row>
    <row r="71" spans="1:13" x14ac:dyDescent="0.2">
      <c r="B71" s="100" t="s">
        <v>43</v>
      </c>
      <c r="C71" s="129"/>
      <c r="D71" s="122"/>
      <c r="E71" s="129"/>
      <c r="F71" s="129"/>
      <c r="G71" s="129"/>
      <c r="H71" s="129"/>
      <c r="I71" s="129"/>
      <c r="J71" s="129"/>
      <c r="K71" s="129"/>
      <c r="L71" s="130">
        <f t="shared" si="6"/>
        <v>0</v>
      </c>
    </row>
    <row r="72" spans="1:13" x14ac:dyDescent="0.2">
      <c r="B72" s="100" t="s">
        <v>42</v>
      </c>
      <c r="C72" s="122">
        <v>8</v>
      </c>
      <c r="D72" s="122"/>
      <c r="E72" s="122">
        <v>8</v>
      </c>
      <c r="F72" s="129">
        <v>4</v>
      </c>
      <c r="G72" s="122">
        <v>7</v>
      </c>
      <c r="H72" s="129"/>
      <c r="I72" s="129"/>
      <c r="J72" s="129">
        <v>10</v>
      </c>
      <c r="K72" s="129">
        <v>8</v>
      </c>
      <c r="L72" s="130">
        <f t="shared" si="6"/>
        <v>45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6"/>
        <v>0</v>
      </c>
    </row>
    <row r="75" spans="1:13" ht="13.5" thickBot="1" x14ac:dyDescent="0.25">
      <c r="B75" s="66" t="s">
        <v>66</v>
      </c>
      <c r="C75" s="3"/>
      <c r="D75" s="3"/>
      <c r="E75" s="3"/>
      <c r="F75" s="3">
        <v>5</v>
      </c>
      <c r="G75" s="3">
        <v>3</v>
      </c>
      <c r="H75" s="3"/>
      <c r="I75" s="3"/>
      <c r="J75" s="3">
        <v>2</v>
      </c>
      <c r="K75" s="3"/>
      <c r="L75" s="176">
        <f t="shared" si="6"/>
        <v>10</v>
      </c>
    </row>
    <row r="76" spans="1:13" ht="13.5" thickTop="1" x14ac:dyDescent="0.2">
      <c r="B76" s="58" t="s">
        <v>7</v>
      </c>
      <c r="C76" s="38">
        <f t="shared" ref="C76:L76" si="7">SUM(C49:C75)</f>
        <v>33</v>
      </c>
      <c r="D76" s="38">
        <f t="shared" si="7"/>
        <v>18</v>
      </c>
      <c r="E76" s="38">
        <f t="shared" si="7"/>
        <v>100</v>
      </c>
      <c r="F76" s="38">
        <f t="shared" si="7"/>
        <v>69</v>
      </c>
      <c r="G76" s="38">
        <f t="shared" si="7"/>
        <v>56</v>
      </c>
      <c r="H76" s="38">
        <f t="shared" si="7"/>
        <v>17</v>
      </c>
      <c r="I76" s="38">
        <f t="shared" si="7"/>
        <v>0</v>
      </c>
      <c r="J76" s="38">
        <f t="shared" si="7"/>
        <v>180</v>
      </c>
      <c r="K76" s="38">
        <f t="shared" si="7"/>
        <v>39</v>
      </c>
      <c r="L76" s="38">
        <f t="shared" si="7"/>
        <v>512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46821</v>
      </c>
      <c r="C82" s="29">
        <f>86+42+23</f>
        <v>151</v>
      </c>
      <c r="D82" s="29">
        <v>1402</v>
      </c>
      <c r="E82" s="4">
        <f>4+43+14+8+79+25+30+67+30+1</f>
        <v>301</v>
      </c>
      <c r="F82" s="4">
        <f>49+3+18+4+1+5+4+5+2+33+16+11+4+65+3+4+2+9+3+10+2+6+19+14+4+8+1+15+2+21+7+1+7+3+12+8+9+3+24+5+2+2+3</f>
        <v>429</v>
      </c>
      <c r="G82" s="29">
        <v>277</v>
      </c>
      <c r="H82" s="4">
        <f>20+175+2929</f>
        <v>3124</v>
      </c>
      <c r="I82" s="4">
        <v>9</v>
      </c>
      <c r="J82" s="29">
        <v>17</v>
      </c>
      <c r="K82" s="4">
        <v>120</v>
      </c>
      <c r="L82" s="29">
        <v>4549</v>
      </c>
      <c r="M82" s="36">
        <f>SUM(B82:L82)</f>
        <v>57200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241</v>
      </c>
      <c r="L84" s="29"/>
      <c r="M84">
        <v>4373</v>
      </c>
    </row>
    <row r="85" spans="1:13" x14ac:dyDescent="0.2">
      <c r="A85" s="29"/>
      <c r="B85" s="29"/>
      <c r="C85" s="29"/>
      <c r="D85" s="29"/>
      <c r="E85" s="29"/>
      <c r="F85" s="29"/>
      <c r="G85" s="47" t="s">
        <v>240</v>
      </c>
      <c r="H85" s="29"/>
      <c r="J85" s="29"/>
      <c r="K85" s="29" t="s">
        <v>242</v>
      </c>
      <c r="L85" s="29"/>
      <c r="M85">
        <v>176</v>
      </c>
    </row>
    <row r="86" spans="1:13" x14ac:dyDescent="0.2">
      <c r="A86" s="137" t="s">
        <v>86</v>
      </c>
      <c r="B86" s="138"/>
      <c r="C86" s="64">
        <v>476</v>
      </c>
      <c r="F86" s="137" t="s">
        <v>48</v>
      </c>
      <c r="G86" s="138"/>
      <c r="H86" s="64">
        <v>133</v>
      </c>
      <c r="J86" s="137" t="s">
        <v>73</v>
      </c>
      <c r="K86" s="142"/>
      <c r="L86" s="142"/>
      <c r="M86" s="34">
        <v>0</v>
      </c>
    </row>
    <row r="87" spans="1:13" x14ac:dyDescent="0.2">
      <c r="A87" s="153" t="s">
        <v>81</v>
      </c>
      <c r="B87" s="150"/>
      <c r="C87" s="42"/>
      <c r="F87" s="140" t="s">
        <v>49</v>
      </c>
      <c r="G87" s="141"/>
      <c r="H87" s="65">
        <v>129</v>
      </c>
      <c r="J87" s="140" t="s">
        <v>74</v>
      </c>
      <c r="K87" s="152"/>
      <c r="L87" s="152"/>
      <c r="M87" s="39">
        <v>6</v>
      </c>
    </row>
    <row r="88" spans="1:13" x14ac:dyDescent="0.2">
      <c r="A88" s="140" t="s">
        <v>87</v>
      </c>
      <c r="B88" s="152"/>
      <c r="C88" s="39">
        <v>301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f>11+3</f>
        <v>14</v>
      </c>
      <c r="D91" s="6"/>
      <c r="E91" s="31" t="s">
        <v>9</v>
      </c>
      <c r="F91" s="29"/>
      <c r="G91" s="36">
        <f>680+118</f>
        <v>798</v>
      </c>
      <c r="I91" s="35" t="s">
        <v>127</v>
      </c>
      <c r="J91" s="29"/>
      <c r="K91" s="29"/>
      <c r="L91" s="36">
        <v>775</v>
      </c>
      <c r="M91" s="6"/>
    </row>
    <row r="92" spans="1:13" x14ac:dyDescent="0.2">
      <c r="A92" s="35" t="s">
        <v>28</v>
      </c>
      <c r="B92" s="29"/>
      <c r="C92" s="36">
        <v>3</v>
      </c>
      <c r="D92" s="6"/>
      <c r="E92" s="31" t="s">
        <v>10</v>
      </c>
      <c r="F92" s="29"/>
      <c r="G92" s="36">
        <f>116+40</f>
        <v>156</v>
      </c>
      <c r="I92" s="35" t="s">
        <v>128</v>
      </c>
      <c r="J92" s="29"/>
      <c r="K92" s="29"/>
      <c r="L92" s="36">
        <v>158</v>
      </c>
      <c r="M92" s="6"/>
    </row>
    <row r="93" spans="1:13" x14ac:dyDescent="0.2">
      <c r="A93" s="35" t="s">
        <v>118</v>
      </c>
      <c r="B93" s="29"/>
      <c r="C93" s="36">
        <f>90+8</f>
        <v>98</v>
      </c>
      <c r="D93" s="6"/>
      <c r="E93" s="31" t="s">
        <v>11</v>
      </c>
      <c r="F93" s="29"/>
      <c r="G93" s="36">
        <v>25</v>
      </c>
      <c r="I93" s="35" t="s">
        <v>45</v>
      </c>
      <c r="J93" s="29"/>
      <c r="K93" s="29"/>
      <c r="L93" s="36">
        <v>19</v>
      </c>
      <c r="M93" s="6"/>
    </row>
    <row r="94" spans="1:13" x14ac:dyDescent="0.2">
      <c r="A94" s="35" t="s">
        <v>119</v>
      </c>
      <c r="B94" s="47"/>
      <c r="C94" s="36">
        <f>1211+75+16</f>
        <v>1302</v>
      </c>
      <c r="D94" s="6"/>
      <c r="E94" s="31" t="s">
        <v>37</v>
      </c>
      <c r="F94" s="29"/>
      <c r="G94" s="36">
        <v>243</v>
      </c>
      <c r="I94" s="35" t="s">
        <v>46</v>
      </c>
      <c r="J94" s="29"/>
      <c r="K94" s="29"/>
      <c r="L94" s="36">
        <v>27</v>
      </c>
      <c r="M94" s="6"/>
    </row>
    <row r="95" spans="1:13" x14ac:dyDescent="0.2">
      <c r="A95" s="35" t="s">
        <v>101</v>
      </c>
      <c r="B95" s="47"/>
      <c r="C95" s="36">
        <f>77+1+84+4</f>
        <v>166</v>
      </c>
      <c r="D95" s="6"/>
      <c r="E95" s="41" t="s">
        <v>38</v>
      </c>
      <c r="F95" s="38"/>
      <c r="G95" s="39">
        <v>0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v>26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f>124+14+2</f>
        <v>140</v>
      </c>
    </row>
    <row r="98" spans="1:13" x14ac:dyDescent="0.2">
      <c r="A98" s="35" t="s">
        <v>120</v>
      </c>
      <c r="B98" s="29"/>
      <c r="C98" s="36">
        <v>24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1</v>
      </c>
      <c r="E99" s="35" t="s">
        <v>31</v>
      </c>
      <c r="F99" s="50"/>
      <c r="G99" s="50"/>
      <c r="H99" s="42">
        <v>86</v>
      </c>
    </row>
    <row r="100" spans="1:13" x14ac:dyDescent="0.2">
      <c r="A100" s="89" t="s">
        <v>122</v>
      </c>
      <c r="B100" s="47"/>
      <c r="C100" s="36">
        <v>2</v>
      </c>
      <c r="E100" s="35" t="s">
        <v>32</v>
      </c>
      <c r="F100" s="47"/>
      <c r="G100" s="47"/>
      <c r="H100" s="42">
        <v>73</v>
      </c>
    </row>
    <row r="101" spans="1:13" x14ac:dyDescent="0.2">
      <c r="A101" s="89" t="s">
        <v>18</v>
      </c>
      <c r="B101" s="29"/>
      <c r="C101" s="51">
        <v>30</v>
      </c>
      <c r="E101" s="37" t="s">
        <v>47</v>
      </c>
      <c r="F101" s="55"/>
      <c r="G101" s="38"/>
      <c r="H101" s="39">
        <v>0</v>
      </c>
      <c r="I101" s="2"/>
      <c r="J101" s="1"/>
    </row>
    <row r="102" spans="1:13" x14ac:dyDescent="0.2">
      <c r="A102" s="91" t="s">
        <v>20</v>
      </c>
      <c r="B102" s="38"/>
      <c r="C102" s="39">
        <f>1188+178+260</f>
        <v>1626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2"/>
      <c r="J103" s="1"/>
    </row>
    <row r="104" spans="1:13" x14ac:dyDescent="0.2">
      <c r="A104" s="79"/>
      <c r="B104" s="29"/>
      <c r="C104" s="29"/>
      <c r="I104" s="2"/>
      <c r="J104" s="1"/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2336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/>
      <c r="E108" s="111">
        <v>245</v>
      </c>
      <c r="F108" s="31"/>
      <c r="H108" s="1"/>
      <c r="I108" s="60" t="s">
        <v>133</v>
      </c>
      <c r="J108" s="50"/>
      <c r="L108">
        <v>2562</v>
      </c>
      <c r="M108" s="36"/>
    </row>
    <row r="109" spans="1:13" x14ac:dyDescent="0.2">
      <c r="A109" s="1"/>
      <c r="B109" s="228" t="s">
        <v>97</v>
      </c>
      <c r="C109" s="229"/>
      <c r="D109" s="15">
        <v>1373</v>
      </c>
      <c r="E109" s="157"/>
      <c r="F109" s="31"/>
      <c r="I109" s="60" t="s">
        <v>212</v>
      </c>
      <c r="K109" s="29"/>
      <c r="L109" s="29">
        <v>2238</v>
      </c>
      <c r="M109" s="36"/>
    </row>
    <row r="110" spans="1:13" x14ac:dyDescent="0.2">
      <c r="B110" s="194" t="s">
        <v>348</v>
      </c>
      <c r="C110" s="15"/>
      <c r="D110" s="15">
        <v>343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387</v>
      </c>
      <c r="E111" s="112"/>
      <c r="F111" s="160"/>
      <c r="I111" s="60" t="s">
        <v>145</v>
      </c>
      <c r="J111" s="50"/>
      <c r="K111" s="50"/>
      <c r="L111" s="47">
        <v>38</v>
      </c>
      <c r="M111" s="63"/>
    </row>
    <row r="112" spans="1:13" x14ac:dyDescent="0.2">
      <c r="A112" s="1"/>
      <c r="B112" s="232" t="s">
        <v>244</v>
      </c>
      <c r="C112" s="233"/>
      <c r="D112" s="15"/>
      <c r="E112" s="112">
        <v>661</v>
      </c>
      <c r="F112" s="160" t="s">
        <v>245</v>
      </c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82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57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46</v>
      </c>
      <c r="E115" s="115"/>
      <c r="F115" s="161"/>
      <c r="I115" s="87" t="s">
        <v>111</v>
      </c>
      <c r="J115" s="33"/>
      <c r="K115" s="88">
        <v>1380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864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>
        <v>237</v>
      </c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0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9</v>
      </c>
      <c r="E120" s="114">
        <v>110</v>
      </c>
      <c r="F120" s="163"/>
      <c r="I120" s="95" t="s">
        <v>22</v>
      </c>
      <c r="J120" s="86"/>
      <c r="K120" s="29">
        <v>1</v>
      </c>
      <c r="L120" s="29">
        <v>0</v>
      </c>
      <c r="M120" s="94">
        <f>SUM(K120:L120)</f>
        <v>1</v>
      </c>
    </row>
    <row r="121" spans="1:13" x14ac:dyDescent="0.2">
      <c r="B121" s="100" t="s">
        <v>144</v>
      </c>
      <c r="D121" s="13">
        <v>117</v>
      </c>
      <c r="E121" s="111"/>
      <c r="F121" s="31"/>
      <c r="I121" s="171" t="s">
        <v>146</v>
      </c>
      <c r="J121" s="86"/>
      <c r="K121" s="29">
        <v>0</v>
      </c>
      <c r="L121" s="29">
        <v>0</v>
      </c>
      <c r="M121" s="94">
        <f>SUM(K121:L121)</f>
        <v>0</v>
      </c>
    </row>
    <row r="122" spans="1:13" x14ac:dyDescent="0.2">
      <c r="A122" s="1"/>
      <c r="B122" s="32" t="s">
        <v>159</v>
      </c>
      <c r="C122" s="13"/>
      <c r="D122" s="13">
        <v>3484</v>
      </c>
      <c r="E122" s="115"/>
      <c r="F122" s="162"/>
      <c r="I122" s="171" t="s">
        <v>170</v>
      </c>
      <c r="J122" s="86"/>
      <c r="K122" s="29">
        <v>0</v>
      </c>
      <c r="L122" s="29">
        <v>0</v>
      </c>
      <c r="M122" s="94">
        <f>SUM(K122:L122)</f>
        <v>0</v>
      </c>
    </row>
    <row r="123" spans="1:13" x14ac:dyDescent="0.2">
      <c r="A123" s="1"/>
      <c r="B123" s="101" t="s">
        <v>135</v>
      </c>
      <c r="C123" s="13"/>
      <c r="D123" s="13">
        <v>322</v>
      </c>
      <c r="E123" s="158"/>
      <c r="F123" s="162"/>
      <c r="I123" s="172" t="s">
        <v>23</v>
      </c>
      <c r="J123" s="173"/>
      <c r="K123" s="93">
        <v>25</v>
      </c>
      <c r="L123" s="93">
        <v>0</v>
      </c>
      <c r="M123" s="174">
        <f>SUM(K123:L123)</f>
        <v>25</v>
      </c>
    </row>
    <row r="124" spans="1:13" x14ac:dyDescent="0.2">
      <c r="A124" s="1"/>
      <c r="B124" s="101" t="s">
        <v>141</v>
      </c>
      <c r="C124" s="13"/>
      <c r="D124" s="13">
        <v>111</v>
      </c>
      <c r="E124" s="158"/>
      <c r="F124" s="162"/>
      <c r="I124" s="171" t="s">
        <v>146</v>
      </c>
      <c r="J124" s="86"/>
      <c r="K124" s="4">
        <v>3</v>
      </c>
      <c r="L124" s="4">
        <v>0</v>
      </c>
      <c r="M124" s="94">
        <f>SUM(K124:L124)</f>
        <v>3</v>
      </c>
    </row>
    <row r="125" spans="1:13" x14ac:dyDescent="0.2">
      <c r="A125" s="1"/>
      <c r="B125" s="101" t="s">
        <v>126</v>
      </c>
      <c r="C125" s="13"/>
      <c r="D125" s="13">
        <v>151</v>
      </c>
      <c r="E125" s="158"/>
      <c r="F125" s="162"/>
      <c r="I125" s="96" t="s">
        <v>273</v>
      </c>
      <c r="J125" s="83"/>
      <c r="K125" s="52"/>
      <c r="L125" s="52"/>
      <c r="M125" s="80"/>
    </row>
    <row r="126" spans="1:13" x14ac:dyDescent="0.2">
      <c r="B126" s="111" t="s">
        <v>350</v>
      </c>
      <c r="C126" s="122"/>
      <c r="D126" s="183">
        <v>27</v>
      </c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SUM(D107:D126)</f>
        <v>9082</v>
      </c>
      <c r="E127">
        <f>SUM(E107:E126)</f>
        <v>1016</v>
      </c>
      <c r="I127" s="132" t="s">
        <v>106</v>
      </c>
      <c r="J127" s="139"/>
      <c r="K127" s="105">
        <v>4</v>
      </c>
      <c r="L127" s="95"/>
      <c r="M127" s="86"/>
    </row>
    <row r="128" spans="1:13" x14ac:dyDescent="0.2">
      <c r="C128" s="1"/>
      <c r="I128" s="132" t="s">
        <v>136</v>
      </c>
      <c r="J128" s="139"/>
      <c r="K128" s="105">
        <v>5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v>90</v>
      </c>
      <c r="D134" s="29">
        <v>49</v>
      </c>
      <c r="E134" s="29">
        <v>788</v>
      </c>
      <c r="F134" s="4">
        <v>547</v>
      </c>
      <c r="G134" s="4">
        <v>200</v>
      </c>
      <c r="H134" s="4">
        <v>0</v>
      </c>
      <c r="I134" s="4">
        <v>88</v>
      </c>
      <c r="J134" s="4">
        <v>337</v>
      </c>
      <c r="K134" s="4">
        <v>441</v>
      </c>
      <c r="L134" s="51">
        <f>SUM(C134:K134)</f>
        <v>2540</v>
      </c>
    </row>
    <row r="135" spans="1:13" x14ac:dyDescent="0.2">
      <c r="A135" s="31"/>
      <c r="B135" s="50" t="s">
        <v>9</v>
      </c>
      <c r="C135" s="169" t="s">
        <v>158</v>
      </c>
      <c r="D135" s="169" t="s">
        <v>158</v>
      </c>
      <c r="E135" s="169" t="s">
        <v>158</v>
      </c>
      <c r="F135" s="170">
        <v>194</v>
      </c>
      <c r="G135" s="170" t="s">
        <v>158</v>
      </c>
      <c r="H135" s="170" t="s">
        <v>158</v>
      </c>
      <c r="I135" s="170" t="s">
        <v>158</v>
      </c>
      <c r="J135" s="170">
        <v>243</v>
      </c>
      <c r="K135" s="170" t="s">
        <v>361</v>
      </c>
      <c r="L135" s="51">
        <f>SUM(C135:K135)</f>
        <v>437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2</v>
      </c>
      <c r="E136" s="155">
        <v>11</v>
      </c>
      <c r="F136" s="155">
        <v>8</v>
      </c>
      <c r="G136" s="155">
        <v>0</v>
      </c>
      <c r="H136" s="155">
        <v>0</v>
      </c>
      <c r="I136" s="168" t="s">
        <v>158</v>
      </c>
      <c r="J136" s="155">
        <v>5</v>
      </c>
      <c r="K136" s="155">
        <v>0</v>
      </c>
      <c r="L136" s="131">
        <f>SUM(C136:K136)</f>
        <v>26</v>
      </c>
    </row>
    <row r="137" spans="1:13" ht="13.5" thickTop="1" x14ac:dyDescent="0.2">
      <c r="A137" s="31"/>
      <c r="B137" s="50" t="s">
        <v>14</v>
      </c>
      <c r="C137" s="29">
        <f>SUM(C134:C136)</f>
        <v>90</v>
      </c>
      <c r="D137" s="29">
        <f>SUM(D134:D136)</f>
        <v>51</v>
      </c>
      <c r="E137" s="29">
        <f t="shared" ref="E137:L137" si="8">SUM(E134:E136)</f>
        <v>799</v>
      </c>
      <c r="F137" s="29">
        <f t="shared" si="8"/>
        <v>749</v>
      </c>
      <c r="G137" s="29">
        <f t="shared" si="8"/>
        <v>200</v>
      </c>
      <c r="H137" s="29">
        <f t="shared" si="8"/>
        <v>0</v>
      </c>
      <c r="I137" s="29">
        <f t="shared" si="8"/>
        <v>88</v>
      </c>
      <c r="J137" s="29">
        <f t="shared" si="8"/>
        <v>585</v>
      </c>
      <c r="K137" s="29">
        <f t="shared" si="8"/>
        <v>441</v>
      </c>
      <c r="L137" s="42">
        <f t="shared" si="8"/>
        <v>3003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125" t="s">
        <v>359</v>
      </c>
      <c r="B143" s="20"/>
      <c r="C143" s="20"/>
      <c r="D143" s="20"/>
      <c r="E143" s="20"/>
      <c r="F143" s="21"/>
      <c r="G143" s="127" t="s">
        <v>372</v>
      </c>
      <c r="H143" s="22"/>
      <c r="I143" s="68"/>
      <c r="J143" s="69"/>
      <c r="K143" s="70"/>
      <c r="L143" s="70"/>
      <c r="M143" s="103"/>
    </row>
    <row r="144" spans="1:13" ht="18" x14ac:dyDescent="0.25">
      <c r="A144" s="206" t="s">
        <v>360</v>
      </c>
      <c r="B144" s="20"/>
      <c r="C144" s="20"/>
      <c r="D144" s="20"/>
      <c r="E144" s="20"/>
      <c r="F144" s="68"/>
      <c r="G144" s="69"/>
      <c r="H144" s="68"/>
      <c r="I144" s="68"/>
      <c r="J144" s="68"/>
      <c r="K144" s="71"/>
      <c r="L144" s="71"/>
      <c r="M144" s="72"/>
    </row>
    <row r="145" spans="1:13" x14ac:dyDescent="0.2">
      <c r="A145" s="31"/>
      <c r="B145" s="20"/>
      <c r="C145" s="20"/>
      <c r="D145" s="20"/>
      <c r="E145" s="20"/>
      <c r="F145" s="21"/>
      <c r="H145" s="68"/>
      <c r="I145" s="68"/>
      <c r="J145" s="68"/>
      <c r="K145" s="71"/>
      <c r="L145" s="71"/>
      <c r="M145" s="72"/>
    </row>
    <row r="146" spans="1:13" x14ac:dyDescent="0.2">
      <c r="A146" s="27" t="s">
        <v>154</v>
      </c>
      <c r="B146" s="29"/>
      <c r="C146" s="29"/>
      <c r="D146" s="29"/>
      <c r="E146" s="29"/>
      <c r="F146" s="29"/>
      <c r="G146" s="127"/>
      <c r="H146" s="29"/>
      <c r="I146" s="29"/>
      <c r="J146" s="29"/>
      <c r="K146" s="29"/>
      <c r="L146" s="29"/>
      <c r="M146" s="36"/>
    </row>
    <row r="147" spans="1:13" ht="18" x14ac:dyDescent="0.25">
      <c r="A147" s="125" t="s">
        <v>365</v>
      </c>
      <c r="B147" s="74"/>
      <c r="C147" s="20"/>
      <c r="D147" s="20"/>
      <c r="E147" s="20"/>
      <c r="F147" s="68"/>
      <c r="G147" s="28" t="s">
        <v>101</v>
      </c>
      <c r="H147" s="68"/>
      <c r="I147" s="22"/>
      <c r="J147" s="45"/>
      <c r="K147" s="20"/>
      <c r="L147" s="20"/>
      <c r="M147" s="23"/>
    </row>
    <row r="148" spans="1:13" ht="18" x14ac:dyDescent="0.25">
      <c r="A148" s="125" t="s">
        <v>366</v>
      </c>
      <c r="B148" s="20"/>
      <c r="C148" s="20"/>
      <c r="D148" s="20"/>
      <c r="E148" s="20"/>
      <c r="F148" s="68"/>
      <c r="G148" s="175"/>
      <c r="H148" s="22"/>
      <c r="I148" s="68"/>
      <c r="J148" s="68"/>
      <c r="K148" s="20"/>
      <c r="L148" s="20"/>
      <c r="M148" s="23"/>
    </row>
    <row r="149" spans="1:13" ht="18" x14ac:dyDescent="0.25">
      <c r="A149" s="125" t="s">
        <v>370</v>
      </c>
      <c r="B149" s="74"/>
      <c r="C149" s="20"/>
      <c r="D149" s="20"/>
      <c r="E149" s="20"/>
      <c r="F149" s="20"/>
      <c r="G149" s="178"/>
      <c r="H149" s="22"/>
      <c r="I149" s="22"/>
      <c r="J149" s="22"/>
      <c r="K149" s="22"/>
      <c r="L149" s="20"/>
      <c r="M149" s="23"/>
    </row>
    <row r="150" spans="1:13" x14ac:dyDescent="0.2">
      <c r="A150" s="126" t="s">
        <v>367</v>
      </c>
      <c r="B150" s="28"/>
      <c r="C150" s="28"/>
      <c r="D150" s="20"/>
      <c r="E150" s="28"/>
      <c r="F150" s="77"/>
      <c r="G150" s="28" t="s">
        <v>155</v>
      </c>
      <c r="H150" s="29"/>
      <c r="I150" s="68"/>
      <c r="J150" s="68"/>
      <c r="K150" s="20"/>
      <c r="L150" s="20"/>
      <c r="M150" s="23"/>
    </row>
    <row r="151" spans="1:13" x14ac:dyDescent="0.2">
      <c r="A151" s="125" t="s">
        <v>369</v>
      </c>
      <c r="B151" s="20"/>
      <c r="C151" s="20"/>
      <c r="D151" s="20"/>
      <c r="E151" s="20"/>
      <c r="F151" s="77"/>
      <c r="G151" s="127" t="s">
        <v>362</v>
      </c>
      <c r="H151" s="29"/>
      <c r="I151" s="68"/>
      <c r="J151" s="68"/>
      <c r="K151" s="20"/>
      <c r="L151" s="20"/>
      <c r="M151" s="23"/>
    </row>
    <row r="152" spans="1:13" x14ac:dyDescent="0.2">
      <c r="A152" s="125" t="s">
        <v>371</v>
      </c>
      <c r="B152" s="20"/>
      <c r="C152" s="20"/>
      <c r="D152" s="20"/>
      <c r="E152" s="20"/>
      <c r="F152" s="77"/>
      <c r="K152" s="20"/>
      <c r="L152" s="20"/>
      <c r="M152" s="23"/>
    </row>
    <row r="153" spans="1:13" ht="18" x14ac:dyDescent="0.25">
      <c r="A153" s="125" t="s">
        <v>375</v>
      </c>
      <c r="B153" s="29"/>
      <c r="C153" s="29"/>
      <c r="D153" s="29"/>
      <c r="E153" s="29"/>
      <c r="F153" s="21"/>
      <c r="H153" s="29"/>
      <c r="I153" s="22"/>
      <c r="J153" s="22"/>
      <c r="K153" s="20"/>
      <c r="L153" s="20"/>
      <c r="M153" s="23"/>
    </row>
    <row r="154" spans="1:13" x14ac:dyDescent="0.2">
      <c r="A154" s="31"/>
      <c r="B154" s="20"/>
      <c r="C154" s="20"/>
      <c r="D154" s="20"/>
      <c r="E154" s="20"/>
      <c r="F154" s="21"/>
      <c r="H154" s="29"/>
      <c r="I154" s="68"/>
      <c r="J154" s="68"/>
      <c r="K154" s="71"/>
      <c r="L154" s="71"/>
      <c r="M154" s="72"/>
    </row>
    <row r="155" spans="1:13" x14ac:dyDescent="0.2">
      <c r="A155" s="27" t="s">
        <v>157</v>
      </c>
      <c r="B155" s="20"/>
      <c r="C155" s="20"/>
      <c r="D155" s="20"/>
      <c r="E155" s="20"/>
      <c r="F155" s="21"/>
      <c r="G155" s="109" t="s">
        <v>156</v>
      </c>
      <c r="H155" s="29"/>
      <c r="I155" s="68"/>
      <c r="J155" s="68"/>
      <c r="K155" s="71"/>
      <c r="L155" s="71"/>
      <c r="M155" s="72"/>
    </row>
    <row r="156" spans="1:13" x14ac:dyDescent="0.2">
      <c r="A156" s="125" t="s">
        <v>358</v>
      </c>
      <c r="B156" s="20"/>
      <c r="C156" s="20"/>
      <c r="D156" s="20"/>
      <c r="E156" s="20"/>
      <c r="F156" s="21"/>
      <c r="G156" s="127" t="s">
        <v>368</v>
      </c>
      <c r="H156" s="29"/>
      <c r="I156" s="68"/>
      <c r="J156" s="68"/>
      <c r="K156" s="71"/>
      <c r="L156" s="71"/>
      <c r="M156" s="72"/>
    </row>
    <row r="157" spans="1:13" ht="18" x14ac:dyDescent="0.25">
      <c r="A157" s="126" t="s">
        <v>363</v>
      </c>
      <c r="B157" s="20"/>
      <c r="C157" s="20"/>
      <c r="D157" s="20"/>
      <c r="E157" s="20"/>
      <c r="F157" s="21"/>
      <c r="G157" s="127" t="s">
        <v>374</v>
      </c>
      <c r="H157" s="29"/>
      <c r="I157" s="22"/>
      <c r="J157" s="22"/>
      <c r="K157" s="71"/>
      <c r="L157" s="71"/>
      <c r="M157" s="72"/>
    </row>
    <row r="158" spans="1:13" x14ac:dyDescent="0.2">
      <c r="A158" s="126" t="s">
        <v>364</v>
      </c>
      <c r="B158" s="20"/>
      <c r="C158" s="20"/>
      <c r="D158" s="29"/>
      <c r="E158" s="29"/>
      <c r="F158" s="29"/>
      <c r="G158" s="178"/>
      <c r="H158" s="29"/>
      <c r="I158" s="29"/>
      <c r="J158" s="29"/>
      <c r="K158" s="29"/>
      <c r="L158" s="29"/>
      <c r="M158" s="36"/>
    </row>
    <row r="159" spans="1:13" x14ac:dyDescent="0.2">
      <c r="A159" s="125" t="s">
        <v>373</v>
      </c>
      <c r="B159" s="20"/>
      <c r="C159" s="20"/>
      <c r="D159" s="20"/>
      <c r="E159" s="20"/>
      <c r="F159" s="21"/>
      <c r="G159" s="178"/>
      <c r="H159" s="29"/>
      <c r="I159" s="29"/>
      <c r="J159" s="29"/>
      <c r="K159" s="71"/>
      <c r="L159" s="71"/>
      <c r="M159" s="72"/>
    </row>
    <row r="160" spans="1:13" x14ac:dyDescent="0.2">
      <c r="A160" s="125"/>
      <c r="B160" s="28"/>
      <c r="C160" s="28"/>
      <c r="D160" s="20"/>
      <c r="E160" s="20"/>
      <c r="F160" s="21"/>
      <c r="G160" s="178"/>
      <c r="H160" s="29"/>
      <c r="I160" s="68"/>
      <c r="J160" s="68"/>
      <c r="K160" s="71"/>
      <c r="L160" s="71"/>
      <c r="M160" s="72"/>
    </row>
    <row r="161" spans="1:13" x14ac:dyDescent="0.2">
      <c r="A161" s="125"/>
      <c r="B161" s="20"/>
      <c r="C161" s="20"/>
      <c r="D161" s="20"/>
      <c r="E161" s="74"/>
      <c r="F161" s="20"/>
      <c r="G161" s="178"/>
      <c r="H161" s="29"/>
      <c r="I161" s="20"/>
      <c r="J161" s="68"/>
      <c r="K161" s="29"/>
      <c r="L161" s="29"/>
      <c r="M161" s="36"/>
    </row>
    <row r="162" spans="1:13" ht="18" x14ac:dyDescent="0.25">
      <c r="A162" s="31"/>
      <c r="B162" s="20"/>
      <c r="C162" s="20"/>
      <c r="D162" s="20"/>
      <c r="E162" s="20"/>
      <c r="F162" s="21"/>
      <c r="G162" s="178"/>
      <c r="H162" s="29"/>
      <c r="I162" s="22"/>
      <c r="J162" s="22"/>
      <c r="K162" s="20"/>
      <c r="L162" s="20"/>
      <c r="M162" s="23"/>
    </row>
    <row r="163" spans="1:13" ht="18" x14ac:dyDescent="0.25">
      <c r="A163" s="31"/>
      <c r="B163" s="20"/>
      <c r="C163" s="20"/>
      <c r="D163" s="20"/>
      <c r="E163" s="74"/>
      <c r="F163" s="68"/>
      <c r="H163" s="69"/>
      <c r="I163" s="68"/>
      <c r="J163" s="69"/>
      <c r="K163" s="70"/>
      <c r="L163" s="70"/>
      <c r="M163" s="23"/>
    </row>
    <row r="164" spans="1:13" ht="18" x14ac:dyDescent="0.25">
      <c r="A164" s="107"/>
      <c r="B164" s="24"/>
      <c r="C164" s="24"/>
      <c r="D164" s="24"/>
      <c r="E164" s="102"/>
      <c r="F164" s="76"/>
      <c r="G164" s="108"/>
      <c r="H164" s="108"/>
      <c r="I164" s="76"/>
      <c r="J164" s="108"/>
      <c r="K164" s="75"/>
      <c r="L164" s="75"/>
      <c r="M164" s="99"/>
    </row>
    <row r="165" spans="1:13" x14ac:dyDescent="0.2">
      <c r="A165" s="74"/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0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19:C119"/>
    <mergeCell ref="B108:C108"/>
    <mergeCell ref="B109:C109"/>
    <mergeCell ref="B112:C112"/>
    <mergeCell ref="B116:C116"/>
    <mergeCell ref="B117:C117"/>
    <mergeCell ref="B118:C118"/>
  </mergeCells>
  <pageMargins left="0.5" right="0.5" top="0.5" bottom="0.5" header="0.3" footer="0.5"/>
  <pageSetup fitToHeight="0" orientation="landscape" r:id="rId1"/>
  <headerFooter>
    <oddHeader>&amp;C
&amp;RFeb. 2017
 - Page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zoomScaleNormal="100" workbookViewId="0">
      <selection activeCell="M9" sqref="M9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33" t="s">
        <v>99</v>
      </c>
      <c r="F1" s="133"/>
      <c r="G1" s="134"/>
      <c r="H1" s="134"/>
      <c r="I1" s="134"/>
      <c r="J1" s="136"/>
    </row>
    <row r="2" spans="1:18" ht="18" x14ac:dyDescent="0.25">
      <c r="F2" s="135"/>
      <c r="G2" s="136">
        <v>42795</v>
      </c>
      <c r="H2" s="134"/>
      <c r="I2" s="134"/>
      <c r="J2" s="7"/>
    </row>
    <row r="6" spans="1:18" x14ac:dyDescent="0.2">
      <c r="A6" s="137" t="s">
        <v>15</v>
      </c>
      <c r="B6" s="138"/>
      <c r="C6" s="59" t="s">
        <v>3</v>
      </c>
      <c r="D6" s="59" t="s">
        <v>4</v>
      </c>
      <c r="E6" s="59" t="s">
        <v>0</v>
      </c>
      <c r="F6" s="59" t="s">
        <v>1</v>
      </c>
      <c r="G6" s="59" t="s">
        <v>2</v>
      </c>
      <c r="H6" s="59" t="s">
        <v>5</v>
      </c>
      <c r="I6" s="59" t="s">
        <v>6</v>
      </c>
      <c r="J6" s="59" t="s">
        <v>27</v>
      </c>
      <c r="K6" s="59" t="s">
        <v>39</v>
      </c>
      <c r="L6" s="59" t="s">
        <v>143</v>
      </c>
      <c r="M6" s="64" t="s">
        <v>14</v>
      </c>
    </row>
    <row r="7" spans="1:18" x14ac:dyDescent="0.2">
      <c r="A7" s="31"/>
      <c r="B7" s="29" t="s">
        <v>16</v>
      </c>
      <c r="C7" s="29">
        <v>80</v>
      </c>
      <c r="D7" s="29">
        <v>20</v>
      </c>
      <c r="E7" s="29">
        <v>201</v>
      </c>
      <c r="F7" s="61">
        <v>391</v>
      </c>
      <c r="G7" s="61">
        <v>92</v>
      </c>
      <c r="H7" s="61">
        <v>5</v>
      </c>
      <c r="I7" s="61">
        <v>0</v>
      </c>
      <c r="J7" s="61">
        <v>450</v>
      </c>
      <c r="K7" s="61">
        <v>62</v>
      </c>
      <c r="L7" s="166"/>
      <c r="M7" s="51">
        <f>SUM(C7:L7)</f>
        <v>1301</v>
      </c>
    </row>
    <row r="8" spans="1:18" x14ac:dyDescent="0.2">
      <c r="A8" s="31"/>
      <c r="B8" s="47" t="s">
        <v>146</v>
      </c>
      <c r="C8" s="29">
        <v>4</v>
      </c>
      <c r="D8" s="29">
        <v>0</v>
      </c>
      <c r="E8" s="29">
        <v>20</v>
      </c>
      <c r="F8" s="61">
        <v>79</v>
      </c>
      <c r="G8" s="61">
        <v>3</v>
      </c>
      <c r="H8" s="61">
        <v>1</v>
      </c>
      <c r="I8" s="61">
        <v>0</v>
      </c>
      <c r="J8" s="61">
        <v>29</v>
      </c>
      <c r="K8" s="61">
        <v>7</v>
      </c>
      <c r="L8" s="167">
        <v>32</v>
      </c>
      <c r="M8" s="51">
        <f>SUM(C8:L8)</f>
        <v>175</v>
      </c>
    </row>
    <row r="9" spans="1:18" ht="13.5" thickBot="1" x14ac:dyDescent="0.25">
      <c r="A9" s="31"/>
      <c r="B9" s="47" t="s">
        <v>147</v>
      </c>
      <c r="C9" s="3">
        <v>26</v>
      </c>
      <c r="D9" s="3">
        <v>0</v>
      </c>
      <c r="E9" s="3">
        <v>6</v>
      </c>
      <c r="F9" s="3">
        <v>53</v>
      </c>
      <c r="G9" s="3">
        <v>4</v>
      </c>
      <c r="H9" s="3">
        <v>0</v>
      </c>
      <c r="I9" s="3">
        <v>0</v>
      </c>
      <c r="J9" s="3">
        <v>36</v>
      </c>
      <c r="K9" s="3">
        <v>0</v>
      </c>
      <c r="L9" s="168"/>
      <c r="M9" s="51">
        <f>SUM(C9:L9)</f>
        <v>125</v>
      </c>
    </row>
    <row r="10" spans="1:18" ht="13.5" thickTop="1" x14ac:dyDescent="0.2">
      <c r="A10" s="41"/>
      <c r="B10" s="55" t="s">
        <v>14</v>
      </c>
      <c r="C10" s="38">
        <f t="shared" ref="C10:L10" si="0">SUM(C7:C9)</f>
        <v>110</v>
      </c>
      <c r="D10" s="38">
        <f t="shared" si="0"/>
        <v>20</v>
      </c>
      <c r="E10" s="38">
        <f t="shared" si="0"/>
        <v>227</v>
      </c>
      <c r="F10" s="38">
        <f t="shared" si="0"/>
        <v>523</v>
      </c>
      <c r="G10" s="38">
        <f t="shared" si="0"/>
        <v>99</v>
      </c>
      <c r="H10" s="38">
        <f t="shared" si="0"/>
        <v>6</v>
      </c>
      <c r="I10" s="38">
        <f t="shared" si="0"/>
        <v>0</v>
      </c>
      <c r="J10" s="38">
        <f t="shared" si="0"/>
        <v>515</v>
      </c>
      <c r="K10" s="38">
        <f t="shared" si="0"/>
        <v>69</v>
      </c>
      <c r="L10" s="38">
        <f t="shared" si="0"/>
        <v>32</v>
      </c>
      <c r="M10" s="39">
        <f>SUM(C10:L10)</f>
        <v>1601</v>
      </c>
    </row>
    <row r="11" spans="1:18" x14ac:dyDescent="0.2">
      <c r="B11" s="1"/>
      <c r="D11" s="2"/>
    </row>
    <row r="12" spans="1:18" x14ac:dyDescent="0.2">
      <c r="A12" s="132" t="s">
        <v>51</v>
      </c>
      <c r="B12" s="139"/>
      <c r="C12" s="122">
        <v>3371</v>
      </c>
      <c r="D12" s="123">
        <v>83</v>
      </c>
      <c r="E12" s="122">
        <v>14353</v>
      </c>
      <c r="F12" s="123">
        <v>11834</v>
      </c>
      <c r="G12" s="123">
        <v>9281</v>
      </c>
      <c r="H12" s="123">
        <v>104</v>
      </c>
      <c r="I12" s="123">
        <v>60</v>
      </c>
      <c r="J12" s="123">
        <v>11168</v>
      </c>
      <c r="K12" s="123">
        <v>1886</v>
      </c>
      <c r="L12" s="123"/>
      <c r="M12" s="124">
        <f>SUM(C12:K12)</f>
        <v>52140</v>
      </c>
      <c r="N12" s="20"/>
    </row>
    <row r="13" spans="1:18" x14ac:dyDescent="0.2">
      <c r="A13" s="47" t="s">
        <v>116</v>
      </c>
      <c r="B13" s="50"/>
      <c r="C13" s="47"/>
      <c r="D13" s="29"/>
      <c r="E13" s="29"/>
      <c r="F13" s="106"/>
      <c r="G13" s="106"/>
      <c r="H13" s="106"/>
      <c r="I13" s="106"/>
      <c r="J13" s="106"/>
      <c r="K13" s="106"/>
      <c r="L13" s="106"/>
      <c r="R13" s="79"/>
    </row>
    <row r="16" spans="1:18" x14ac:dyDescent="0.2">
      <c r="A16" s="132" t="s">
        <v>54</v>
      </c>
      <c r="B16" s="132"/>
      <c r="C16" s="132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27</v>
      </c>
      <c r="K17" s="1" t="s">
        <v>39</v>
      </c>
      <c r="L17" s="1" t="s">
        <v>14</v>
      </c>
    </row>
    <row r="18" spans="1:13" x14ac:dyDescent="0.2">
      <c r="A18" s="48" t="s">
        <v>8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x14ac:dyDescent="0.2">
      <c r="A19" s="60"/>
      <c r="B19" s="47" t="s">
        <v>12</v>
      </c>
      <c r="C19" s="29">
        <v>78</v>
      </c>
      <c r="D19" s="29">
        <v>1</v>
      </c>
      <c r="E19" s="29">
        <v>121</v>
      </c>
      <c r="F19" s="4">
        <v>217</v>
      </c>
      <c r="G19" s="4">
        <v>84</v>
      </c>
      <c r="H19" s="4">
        <v>1</v>
      </c>
      <c r="I19" s="4">
        <v>5</v>
      </c>
      <c r="J19" s="4">
        <v>67</v>
      </c>
      <c r="K19" s="4">
        <v>44</v>
      </c>
      <c r="L19" s="36">
        <f>SUM(C19:K19)</f>
        <v>618</v>
      </c>
    </row>
    <row r="20" spans="1:13" x14ac:dyDescent="0.2">
      <c r="A20" s="31"/>
      <c r="B20" s="29" t="s">
        <v>13</v>
      </c>
      <c r="C20" s="29">
        <v>1</v>
      </c>
      <c r="D20" s="29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51">
        <f>SUM(C20:K20)</f>
        <v>8</v>
      </c>
    </row>
    <row r="21" spans="1:13" x14ac:dyDescent="0.2">
      <c r="A21" s="31"/>
      <c r="B21" s="29" t="s">
        <v>11</v>
      </c>
      <c r="C21" s="4">
        <v>0</v>
      </c>
      <c r="D21" s="4">
        <v>1</v>
      </c>
      <c r="E21" s="4">
        <v>18</v>
      </c>
      <c r="F21" s="4">
        <v>17</v>
      </c>
      <c r="G21" s="4">
        <v>19</v>
      </c>
      <c r="H21" s="4">
        <v>1</v>
      </c>
      <c r="I21" s="4">
        <v>0</v>
      </c>
      <c r="J21" s="4">
        <v>30</v>
      </c>
      <c r="K21" s="4">
        <v>0</v>
      </c>
      <c r="L21" s="51">
        <f>SUM(C21:K21)</f>
        <v>86</v>
      </c>
    </row>
    <row r="22" spans="1:13" x14ac:dyDescent="0.2">
      <c r="A22" s="31"/>
      <c r="B22" s="29" t="s">
        <v>10</v>
      </c>
      <c r="C22" s="4">
        <v>6</v>
      </c>
      <c r="D22" s="4">
        <v>4</v>
      </c>
      <c r="E22" s="4">
        <v>14</v>
      </c>
      <c r="F22" s="4">
        <v>60</v>
      </c>
      <c r="G22" s="4">
        <v>20</v>
      </c>
      <c r="H22" s="4">
        <v>2</v>
      </c>
      <c r="I22" s="4">
        <v>2</v>
      </c>
      <c r="J22" s="4">
        <v>26</v>
      </c>
      <c r="K22" s="4">
        <v>4</v>
      </c>
      <c r="L22" s="51">
        <f>SUM(C22:K22)</f>
        <v>138</v>
      </c>
    </row>
    <row r="23" spans="1:13" ht="13.5" thickBot="1" x14ac:dyDescent="0.25">
      <c r="A23" s="31"/>
      <c r="B23" s="29" t="s">
        <v>9</v>
      </c>
      <c r="C23" s="3">
        <v>130</v>
      </c>
      <c r="D23" s="3">
        <v>85</v>
      </c>
      <c r="E23" s="3">
        <v>300</v>
      </c>
      <c r="F23" s="3">
        <v>323</v>
      </c>
      <c r="G23" s="3">
        <v>172</v>
      </c>
      <c r="H23" s="3">
        <v>12</v>
      </c>
      <c r="I23" s="3">
        <v>12</v>
      </c>
      <c r="J23" s="3">
        <v>595</v>
      </c>
      <c r="K23" s="3">
        <v>168</v>
      </c>
      <c r="L23" s="49">
        <f>SUM(C23:K23)</f>
        <v>1797</v>
      </c>
    </row>
    <row r="24" spans="1:13" ht="13.5" thickTop="1" x14ac:dyDescent="0.2">
      <c r="A24" s="31"/>
      <c r="B24" s="50" t="s">
        <v>14</v>
      </c>
      <c r="C24" s="29">
        <f>SUM(C19:C23)</f>
        <v>215</v>
      </c>
      <c r="D24" s="29">
        <f t="shared" ref="D24:L24" si="1">SUM(D19:D23)</f>
        <v>91</v>
      </c>
      <c r="E24" s="29">
        <f t="shared" si="1"/>
        <v>454</v>
      </c>
      <c r="F24" s="29">
        <f t="shared" si="1"/>
        <v>617</v>
      </c>
      <c r="G24" s="29">
        <f t="shared" si="1"/>
        <v>296</v>
      </c>
      <c r="H24" s="29">
        <f t="shared" si="1"/>
        <v>16</v>
      </c>
      <c r="I24" s="29">
        <f t="shared" si="1"/>
        <v>19</v>
      </c>
      <c r="J24" s="29">
        <f t="shared" si="1"/>
        <v>718</v>
      </c>
      <c r="K24" s="29">
        <f t="shared" si="1"/>
        <v>221</v>
      </c>
      <c r="L24" s="36">
        <f t="shared" si="1"/>
        <v>2647</v>
      </c>
    </row>
    <row r="25" spans="1:13" x14ac:dyDescent="0.2">
      <c r="A25" s="41"/>
      <c r="B25" s="52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x14ac:dyDescent="0.2">
      <c r="A26" s="31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42" t="s">
        <v>132</v>
      </c>
      <c r="M26" s="156" t="s">
        <v>14</v>
      </c>
    </row>
    <row r="27" spans="1:13" x14ac:dyDescent="0.2">
      <c r="A27" s="132" t="s">
        <v>34</v>
      </c>
      <c r="B27" s="139"/>
      <c r="C27" s="73">
        <v>2</v>
      </c>
      <c r="D27" s="73">
        <v>0</v>
      </c>
      <c r="E27" s="73">
        <v>17.5</v>
      </c>
      <c r="F27" s="73">
        <v>31.5</v>
      </c>
      <c r="G27" s="73">
        <v>3.25</v>
      </c>
      <c r="H27" s="73">
        <v>0</v>
      </c>
      <c r="I27" s="73">
        <v>67.75</v>
      </c>
      <c r="J27" s="73">
        <v>9.75</v>
      </c>
      <c r="K27" s="73">
        <v>0</v>
      </c>
      <c r="L27" s="73">
        <v>41.21</v>
      </c>
      <c r="M27" s="118">
        <f>SUM(C27:L27)</f>
        <v>172.96</v>
      </c>
    </row>
    <row r="29" spans="1:13" x14ac:dyDescent="0.2">
      <c r="A29" s="137" t="s">
        <v>65</v>
      </c>
      <c r="B29" s="154"/>
      <c r="C29" s="142"/>
      <c r="D29" s="144"/>
      <c r="E29" s="33"/>
      <c r="F29" s="33"/>
      <c r="G29" s="33"/>
      <c r="H29" s="33"/>
      <c r="I29" s="33"/>
      <c r="J29" s="33"/>
      <c r="K29" s="33"/>
      <c r="L29" s="34"/>
    </row>
    <row r="30" spans="1:13" x14ac:dyDescent="0.2">
      <c r="B30" s="40"/>
      <c r="C30" s="43" t="s">
        <v>3</v>
      </c>
      <c r="D30" s="43" t="s">
        <v>4</v>
      </c>
      <c r="E30" s="43" t="s">
        <v>0</v>
      </c>
      <c r="F30" s="43" t="s">
        <v>1</v>
      </c>
      <c r="G30" s="43" t="s">
        <v>2</v>
      </c>
      <c r="H30" s="43" t="s">
        <v>5</v>
      </c>
      <c r="I30" s="43" t="s">
        <v>6</v>
      </c>
      <c r="J30" s="43" t="s">
        <v>27</v>
      </c>
      <c r="K30" s="43" t="s">
        <v>39</v>
      </c>
      <c r="L30" s="62" t="s">
        <v>14</v>
      </c>
    </row>
    <row r="31" spans="1:13" x14ac:dyDescent="0.2">
      <c r="B31" s="60" t="s">
        <v>17</v>
      </c>
      <c r="C31" s="29">
        <v>56</v>
      </c>
      <c r="D31" s="29">
        <v>10</v>
      </c>
      <c r="E31" s="29">
        <v>61</v>
      </c>
      <c r="F31" s="4">
        <v>182</v>
      </c>
      <c r="G31" s="4">
        <v>163</v>
      </c>
      <c r="H31" s="4">
        <v>139</v>
      </c>
      <c r="I31" s="4">
        <v>0</v>
      </c>
      <c r="J31" s="4">
        <v>182</v>
      </c>
      <c r="K31" s="4">
        <v>64</v>
      </c>
      <c r="L31" s="51">
        <f t="shared" ref="L31:L36" si="2">SUM(C31:K31)</f>
        <v>857</v>
      </c>
    </row>
    <row r="32" spans="1:13" x14ac:dyDescent="0.2">
      <c r="B32" s="60" t="s">
        <v>18</v>
      </c>
      <c r="C32" s="29">
        <v>16</v>
      </c>
      <c r="D32" s="29">
        <v>3</v>
      </c>
      <c r="E32" s="29">
        <v>41</v>
      </c>
      <c r="F32" s="4">
        <v>33</v>
      </c>
      <c r="G32" s="4">
        <v>18</v>
      </c>
      <c r="H32" s="4">
        <v>0</v>
      </c>
      <c r="I32" s="4">
        <v>0</v>
      </c>
      <c r="J32" s="4">
        <v>19</v>
      </c>
      <c r="K32" s="4">
        <v>22</v>
      </c>
      <c r="L32" s="51">
        <f t="shared" si="2"/>
        <v>152</v>
      </c>
    </row>
    <row r="33" spans="1:12" x14ac:dyDescent="0.2">
      <c r="B33" s="60" t="s">
        <v>20</v>
      </c>
      <c r="C33" s="29">
        <v>167</v>
      </c>
      <c r="D33" s="29">
        <v>236</v>
      </c>
      <c r="E33" s="29">
        <v>533</v>
      </c>
      <c r="F33" s="29">
        <v>297</v>
      </c>
      <c r="G33" s="4">
        <v>239</v>
      </c>
      <c r="H33" s="4">
        <v>1</v>
      </c>
      <c r="I33" s="4">
        <v>0</v>
      </c>
      <c r="J33" s="4">
        <v>389</v>
      </c>
      <c r="K33" s="4">
        <v>106</v>
      </c>
      <c r="L33" s="51">
        <f t="shared" si="2"/>
        <v>1968</v>
      </c>
    </row>
    <row r="34" spans="1:12" x14ac:dyDescent="0.2">
      <c r="B34" s="60" t="s">
        <v>108</v>
      </c>
      <c r="C34" s="4">
        <f>23+50</f>
        <v>73</v>
      </c>
      <c r="D34" s="4">
        <v>60</v>
      </c>
      <c r="E34" s="4">
        <f>21+25</f>
        <v>46</v>
      </c>
      <c r="F34" s="4">
        <f>29+26</f>
        <v>55</v>
      </c>
      <c r="G34" s="4">
        <f>20+42</f>
        <v>62</v>
      </c>
      <c r="H34" s="4">
        <f>23+32</f>
        <v>55</v>
      </c>
      <c r="I34" s="4">
        <f>48+24</f>
        <v>72</v>
      </c>
      <c r="J34">
        <f>25+108</f>
        <v>133</v>
      </c>
      <c r="K34" s="4">
        <f>36+33</f>
        <v>69</v>
      </c>
      <c r="L34" s="51">
        <f t="shared" si="2"/>
        <v>625</v>
      </c>
    </row>
    <row r="35" spans="1:12" ht="13.5" thickBot="1" x14ac:dyDescent="0.25">
      <c r="B35" s="119" t="s">
        <v>19</v>
      </c>
      <c r="C35" s="3">
        <f t="shared" ref="C35:J35" si="3">SUM(C76)</f>
        <v>27</v>
      </c>
      <c r="D35" s="3">
        <f t="shared" si="3"/>
        <v>33</v>
      </c>
      <c r="E35" s="3">
        <f t="shared" si="3"/>
        <v>82</v>
      </c>
      <c r="F35" s="3">
        <f t="shared" si="3"/>
        <v>90</v>
      </c>
      <c r="G35" s="3">
        <f t="shared" si="3"/>
        <v>91</v>
      </c>
      <c r="H35" s="3">
        <f t="shared" si="3"/>
        <v>26</v>
      </c>
      <c r="I35" s="3">
        <f t="shared" si="3"/>
        <v>26</v>
      </c>
      <c r="J35" s="3">
        <f t="shared" si="3"/>
        <v>183</v>
      </c>
      <c r="K35" s="3">
        <f>SUM(K76)</f>
        <v>71</v>
      </c>
      <c r="L35" s="117">
        <f t="shared" si="2"/>
        <v>629</v>
      </c>
    </row>
    <row r="36" spans="1:12" ht="13.5" thickTop="1" x14ac:dyDescent="0.2">
      <c r="B36" s="58" t="s">
        <v>14</v>
      </c>
      <c r="C36" s="38">
        <f t="shared" ref="C36:K36" si="4">SUM(C31:C35)</f>
        <v>339</v>
      </c>
      <c r="D36" s="38">
        <f t="shared" si="4"/>
        <v>342</v>
      </c>
      <c r="E36" s="38">
        <f t="shared" si="4"/>
        <v>763</v>
      </c>
      <c r="F36" s="38">
        <f t="shared" si="4"/>
        <v>657</v>
      </c>
      <c r="G36" s="38">
        <f>SUM(G31:G35)</f>
        <v>573</v>
      </c>
      <c r="H36" s="38">
        <f t="shared" si="4"/>
        <v>221</v>
      </c>
      <c r="I36" s="38">
        <f t="shared" si="4"/>
        <v>98</v>
      </c>
      <c r="J36" s="38">
        <f t="shared" si="4"/>
        <v>906</v>
      </c>
      <c r="K36" s="38">
        <f t="shared" si="4"/>
        <v>332</v>
      </c>
      <c r="L36" s="80">
        <f t="shared" si="2"/>
        <v>4231</v>
      </c>
    </row>
    <row r="38" spans="1:12" x14ac:dyDescent="0.2">
      <c r="A38" s="137" t="s">
        <v>56</v>
      </c>
      <c r="B38" s="138"/>
      <c r="C38" s="33">
        <v>4</v>
      </c>
      <c r="D38" s="33">
        <v>9</v>
      </c>
      <c r="E38" s="33">
        <v>9</v>
      </c>
      <c r="F38" s="56">
        <v>4</v>
      </c>
      <c r="G38" s="56">
        <v>7</v>
      </c>
      <c r="H38" s="56">
        <v>0</v>
      </c>
      <c r="I38" s="56">
        <v>0</v>
      </c>
      <c r="J38" s="56">
        <v>25</v>
      </c>
      <c r="K38" s="56">
        <v>0</v>
      </c>
      <c r="L38" s="120">
        <f>SUM(C38:K38)</f>
        <v>58</v>
      </c>
    </row>
    <row r="39" spans="1:12" x14ac:dyDescent="0.2">
      <c r="A39" s="60" t="s">
        <v>148</v>
      </c>
      <c r="B39" s="50"/>
      <c r="C39" s="29">
        <v>0</v>
      </c>
      <c r="D39" s="29">
        <v>0</v>
      </c>
      <c r="E39" s="29">
        <v>0</v>
      </c>
      <c r="F39" s="106">
        <v>54</v>
      </c>
      <c r="G39" s="106"/>
      <c r="H39" s="106">
        <v>18</v>
      </c>
      <c r="I39" s="106"/>
      <c r="J39" s="106">
        <v>345</v>
      </c>
      <c r="K39" s="106"/>
      <c r="L39" s="121">
        <f>SUM(C39:K39)</f>
        <v>417</v>
      </c>
    </row>
    <row r="40" spans="1:12" x14ac:dyDescent="0.2">
      <c r="A40" s="60"/>
      <c r="B40" s="50" t="s">
        <v>7</v>
      </c>
      <c r="C40" s="29">
        <f>SUM(C38:C39)</f>
        <v>4</v>
      </c>
      <c r="D40" s="29">
        <f t="shared" ref="D40:K40" si="5">SUM(D38:D39)</f>
        <v>9</v>
      </c>
      <c r="E40" s="29">
        <f t="shared" si="5"/>
        <v>9</v>
      </c>
      <c r="F40" s="29">
        <f t="shared" si="5"/>
        <v>58</v>
      </c>
      <c r="G40" s="29">
        <f t="shared" si="5"/>
        <v>7</v>
      </c>
      <c r="H40" s="179">
        <f>SUM(H38:H39)</f>
        <v>18</v>
      </c>
      <c r="I40" s="29">
        <f t="shared" si="5"/>
        <v>0</v>
      </c>
      <c r="J40" s="29">
        <f t="shared" si="5"/>
        <v>370</v>
      </c>
      <c r="K40" s="29">
        <f t="shared" si="5"/>
        <v>0</v>
      </c>
      <c r="L40" s="121">
        <f>SUM(L38:L39)</f>
        <v>475</v>
      </c>
    </row>
    <row r="41" spans="1:12" x14ac:dyDescent="0.2">
      <c r="A41" s="60"/>
      <c r="B41" s="50"/>
      <c r="C41" s="29"/>
      <c r="D41" s="29"/>
      <c r="E41" s="29"/>
      <c r="F41" s="106"/>
      <c r="G41" s="106"/>
      <c r="H41" s="106"/>
      <c r="I41" s="106"/>
      <c r="J41" s="106"/>
      <c r="K41" s="106"/>
      <c r="L41" s="121"/>
    </row>
    <row r="42" spans="1:12" x14ac:dyDescent="0.2">
      <c r="A42" s="132" t="s">
        <v>55</v>
      </c>
      <c r="B42" s="139"/>
      <c r="C42" s="122">
        <v>0</v>
      </c>
      <c r="D42" s="122">
        <v>0</v>
      </c>
      <c r="E42" s="122">
        <v>17</v>
      </c>
      <c r="F42" s="123">
        <v>32</v>
      </c>
      <c r="G42" s="123">
        <v>2</v>
      </c>
      <c r="H42" s="123">
        <v>0</v>
      </c>
      <c r="I42" s="123">
        <v>0</v>
      </c>
      <c r="J42" s="123">
        <v>56</v>
      </c>
      <c r="K42" s="123">
        <v>0</v>
      </c>
      <c r="L42" s="124">
        <f>SUM(C42:K42)</f>
        <v>107</v>
      </c>
    </row>
    <row r="43" spans="1:12" x14ac:dyDescent="0.2">
      <c r="A43" s="29"/>
    </row>
    <row r="44" spans="1:12" x14ac:dyDescent="0.2">
      <c r="A44" s="137" t="s">
        <v>357</v>
      </c>
      <c r="B44" s="142"/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4">
        <f>SUM(C44:K44)</f>
        <v>0</v>
      </c>
    </row>
    <row r="45" spans="1:12" x14ac:dyDescent="0.2">
      <c r="A45" s="58" t="s">
        <v>21</v>
      </c>
      <c r="B45" s="55"/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f>SUM(C45:K45)</f>
        <v>0</v>
      </c>
    </row>
    <row r="46" spans="1:12" x14ac:dyDescent="0.2">
      <c r="A46" s="29"/>
    </row>
    <row r="47" spans="1:12" x14ac:dyDescent="0.2">
      <c r="A47" s="164" t="s">
        <v>163</v>
      </c>
    </row>
    <row r="48" spans="1:12" x14ac:dyDescent="0.2">
      <c r="B48" s="53"/>
      <c r="C48" s="54" t="s">
        <v>3</v>
      </c>
      <c r="D48" s="54" t="s">
        <v>4</v>
      </c>
      <c r="E48" s="54" t="s">
        <v>0</v>
      </c>
      <c r="F48" s="54" t="s">
        <v>1</v>
      </c>
      <c r="G48" s="54" t="s">
        <v>2</v>
      </c>
      <c r="H48" s="54" t="s">
        <v>5</v>
      </c>
      <c r="I48" s="54" t="s">
        <v>6</v>
      </c>
      <c r="J48" s="54" t="s">
        <v>27</v>
      </c>
      <c r="K48" s="54" t="s">
        <v>39</v>
      </c>
      <c r="L48" s="128" t="s">
        <v>14</v>
      </c>
    </row>
    <row r="49" spans="2:12" x14ac:dyDescent="0.2">
      <c r="B49" s="111" t="s">
        <v>71</v>
      </c>
      <c r="C49" s="122"/>
      <c r="D49" s="122"/>
      <c r="E49" s="122"/>
      <c r="F49" s="129"/>
      <c r="G49" s="129"/>
      <c r="H49" s="129"/>
      <c r="I49" s="129">
        <v>1</v>
      </c>
      <c r="J49" s="129">
        <v>1</v>
      </c>
      <c r="K49" s="129"/>
      <c r="L49" s="130">
        <f t="shared" ref="L49:L75" si="6">SUM(C49:K49)</f>
        <v>2</v>
      </c>
    </row>
    <row r="50" spans="2:12" x14ac:dyDescent="0.2">
      <c r="B50" s="100" t="s">
        <v>113</v>
      </c>
      <c r="C50" s="122">
        <v>3</v>
      </c>
      <c r="D50" s="122"/>
      <c r="E50" s="129">
        <v>3</v>
      </c>
      <c r="F50" s="122"/>
      <c r="G50" s="122">
        <v>6</v>
      </c>
      <c r="H50" s="122"/>
      <c r="I50" s="122"/>
      <c r="J50" s="122">
        <v>10</v>
      </c>
      <c r="K50" s="122">
        <v>1</v>
      </c>
      <c r="L50" s="130">
        <f t="shared" si="6"/>
        <v>23</v>
      </c>
    </row>
    <row r="51" spans="2:12" x14ac:dyDescent="0.2">
      <c r="B51" s="100" t="s">
        <v>103</v>
      </c>
      <c r="C51" s="122"/>
      <c r="D51" s="122"/>
      <c r="E51" s="122">
        <v>3</v>
      </c>
      <c r="F51" s="122"/>
      <c r="G51" s="129"/>
      <c r="H51" s="129"/>
      <c r="I51" s="122"/>
      <c r="J51" s="122">
        <v>3</v>
      </c>
      <c r="K51" s="129">
        <v>1</v>
      </c>
      <c r="L51" s="130">
        <f t="shared" si="6"/>
        <v>7</v>
      </c>
    </row>
    <row r="52" spans="2:12" x14ac:dyDescent="0.2">
      <c r="B52" s="100" t="s">
        <v>137</v>
      </c>
      <c r="C52" s="122"/>
      <c r="D52" s="122">
        <v>2</v>
      </c>
      <c r="E52" s="122"/>
      <c r="F52" s="122"/>
      <c r="G52" s="129">
        <v>1</v>
      </c>
      <c r="H52" s="122"/>
      <c r="I52" s="122"/>
      <c r="J52" s="122">
        <v>2</v>
      </c>
      <c r="K52" s="129"/>
      <c r="L52" s="130">
        <f t="shared" si="6"/>
        <v>5</v>
      </c>
    </row>
    <row r="53" spans="2:12" x14ac:dyDescent="0.2">
      <c r="B53" s="100" t="s">
        <v>149</v>
      </c>
      <c r="C53" s="129"/>
      <c r="D53" s="122"/>
      <c r="E53" s="122"/>
      <c r="F53" s="122"/>
      <c r="G53" s="129">
        <v>7</v>
      </c>
      <c r="H53" s="122">
        <v>4</v>
      </c>
      <c r="I53" s="122"/>
      <c r="J53" s="122">
        <v>16</v>
      </c>
      <c r="K53" s="129">
        <v>13</v>
      </c>
      <c r="L53" s="130">
        <f t="shared" si="6"/>
        <v>40</v>
      </c>
    </row>
    <row r="54" spans="2:12" x14ac:dyDescent="0.2">
      <c r="B54" s="100" t="s">
        <v>104</v>
      </c>
      <c r="C54" s="129"/>
      <c r="D54" s="122"/>
      <c r="E54" s="129"/>
      <c r="F54" s="129"/>
      <c r="G54" s="129"/>
      <c r="H54" s="122"/>
      <c r="I54" s="122"/>
      <c r="J54" s="122">
        <v>2</v>
      </c>
      <c r="K54" s="122"/>
      <c r="L54" s="130">
        <f t="shared" si="6"/>
        <v>2</v>
      </c>
    </row>
    <row r="55" spans="2:12" x14ac:dyDescent="0.2">
      <c r="B55" s="100" t="s">
        <v>150</v>
      </c>
      <c r="C55" s="122"/>
      <c r="D55" s="122"/>
      <c r="E55" s="129"/>
      <c r="F55" s="129"/>
      <c r="G55" s="129"/>
      <c r="H55" s="122"/>
      <c r="I55" s="122"/>
      <c r="J55" s="122"/>
      <c r="K55" s="122"/>
      <c r="L55" s="130">
        <f>SUM(C55:K55)</f>
        <v>0</v>
      </c>
    </row>
    <row r="56" spans="2:12" x14ac:dyDescent="0.2">
      <c r="B56" s="100" t="s">
        <v>88</v>
      </c>
      <c r="C56" s="122"/>
      <c r="D56" s="122"/>
      <c r="E56" s="129"/>
      <c r="F56" s="129"/>
      <c r="G56" s="129"/>
      <c r="H56" s="129"/>
      <c r="I56" s="129"/>
      <c r="J56" s="129"/>
      <c r="K56" s="129"/>
      <c r="L56" s="130">
        <f t="shared" si="6"/>
        <v>0</v>
      </c>
    </row>
    <row r="57" spans="2:12" x14ac:dyDescent="0.2">
      <c r="B57" s="100" t="s">
        <v>124</v>
      </c>
      <c r="C57" s="122"/>
      <c r="D57" s="122"/>
      <c r="E57" s="122"/>
      <c r="F57" s="129"/>
      <c r="G57" s="122">
        <v>2</v>
      </c>
      <c r="H57" s="129"/>
      <c r="I57" s="122"/>
      <c r="J57" s="122"/>
      <c r="K57" s="129"/>
      <c r="L57" s="130">
        <f t="shared" si="6"/>
        <v>2</v>
      </c>
    </row>
    <row r="58" spans="2:12" x14ac:dyDescent="0.2">
      <c r="B58" s="100" t="s">
        <v>102</v>
      </c>
      <c r="C58" s="122">
        <v>4</v>
      </c>
      <c r="D58" s="122">
        <v>1</v>
      </c>
      <c r="E58" s="129">
        <v>1</v>
      </c>
      <c r="F58" s="129">
        <v>4</v>
      </c>
      <c r="G58" s="129">
        <v>3</v>
      </c>
      <c r="H58" s="129">
        <v>1</v>
      </c>
      <c r="I58" s="122"/>
      <c r="J58" s="122"/>
      <c r="K58" s="129">
        <v>1</v>
      </c>
      <c r="L58" s="130">
        <f t="shared" si="6"/>
        <v>15</v>
      </c>
    </row>
    <row r="59" spans="2:12" x14ac:dyDescent="0.2">
      <c r="B59" s="100" t="s">
        <v>105</v>
      </c>
      <c r="C59" s="122">
        <v>1</v>
      </c>
      <c r="D59" s="122"/>
      <c r="E59" s="129">
        <v>11</v>
      </c>
      <c r="F59" s="129"/>
      <c r="G59" s="129">
        <v>3</v>
      </c>
      <c r="H59" s="129"/>
      <c r="I59" s="122"/>
      <c r="J59" s="122">
        <v>13</v>
      </c>
      <c r="K59" s="129"/>
      <c r="L59" s="130">
        <f t="shared" si="6"/>
        <v>28</v>
      </c>
    </row>
    <row r="60" spans="2:12" x14ac:dyDescent="0.2">
      <c r="B60" s="100" t="s">
        <v>90</v>
      </c>
      <c r="C60" s="122"/>
      <c r="D60" s="122"/>
      <c r="E60" s="122"/>
      <c r="F60" s="122"/>
      <c r="G60" s="129"/>
      <c r="H60" s="129"/>
      <c r="I60" s="122"/>
      <c r="J60" s="122"/>
      <c r="K60" s="129"/>
      <c r="L60" s="130">
        <f t="shared" si="6"/>
        <v>0</v>
      </c>
    </row>
    <row r="61" spans="2:12" x14ac:dyDescent="0.2">
      <c r="B61" s="111" t="s">
        <v>41</v>
      </c>
      <c r="C61" s="122">
        <v>1</v>
      </c>
      <c r="D61" s="122">
        <v>14</v>
      </c>
      <c r="E61" s="129">
        <v>15</v>
      </c>
      <c r="F61" s="129">
        <v>20</v>
      </c>
      <c r="G61" s="129">
        <v>31</v>
      </c>
      <c r="H61" s="129">
        <v>6</v>
      </c>
      <c r="I61" s="129">
        <v>7</v>
      </c>
      <c r="J61" s="129">
        <v>32</v>
      </c>
      <c r="K61" s="129">
        <v>4</v>
      </c>
      <c r="L61" s="130">
        <f t="shared" si="6"/>
        <v>130</v>
      </c>
    </row>
    <row r="62" spans="2:12" x14ac:dyDescent="0.2">
      <c r="B62" s="111" t="s">
        <v>40</v>
      </c>
      <c r="C62" s="122"/>
      <c r="D62" s="122"/>
      <c r="E62" s="129"/>
      <c r="F62" s="122"/>
      <c r="G62" s="129"/>
      <c r="H62" s="129"/>
      <c r="I62" s="129"/>
      <c r="J62" s="129"/>
      <c r="K62" s="129"/>
      <c r="L62" s="130">
        <f t="shared" si="6"/>
        <v>0</v>
      </c>
    </row>
    <row r="63" spans="2:12" x14ac:dyDescent="0.2">
      <c r="B63" s="111" t="s">
        <v>129</v>
      </c>
      <c r="C63" s="122"/>
      <c r="D63" s="122"/>
      <c r="E63" s="129"/>
      <c r="F63" s="129"/>
      <c r="G63" s="129"/>
      <c r="H63" s="129"/>
      <c r="I63" s="129"/>
      <c r="J63" s="129"/>
      <c r="K63" s="129"/>
      <c r="L63" s="130">
        <f t="shared" si="6"/>
        <v>0</v>
      </c>
    </row>
    <row r="64" spans="2:12" x14ac:dyDescent="0.2">
      <c r="B64" s="111" t="s">
        <v>130</v>
      </c>
      <c r="C64" s="122"/>
      <c r="D64" s="122"/>
      <c r="E64" s="122"/>
      <c r="F64" s="122"/>
      <c r="G64" s="129"/>
      <c r="H64" s="129"/>
      <c r="I64" s="129"/>
      <c r="J64" s="129"/>
      <c r="K64" s="129"/>
      <c r="L64" s="130">
        <f t="shared" si="6"/>
        <v>0</v>
      </c>
    </row>
    <row r="65" spans="1:13" x14ac:dyDescent="0.2">
      <c r="B65" s="100" t="s">
        <v>153</v>
      </c>
      <c r="C65" s="122"/>
      <c r="D65" s="122"/>
      <c r="E65" s="122"/>
      <c r="F65" s="122"/>
      <c r="G65" s="129"/>
      <c r="H65" s="129">
        <v>2</v>
      </c>
      <c r="I65" s="129"/>
      <c r="J65" s="129"/>
      <c r="K65" s="129"/>
      <c r="L65" s="130">
        <f t="shared" si="6"/>
        <v>2</v>
      </c>
    </row>
    <row r="66" spans="1:13" x14ac:dyDescent="0.2">
      <c r="B66" s="111" t="s">
        <v>80</v>
      </c>
      <c r="C66" s="129">
        <v>13</v>
      </c>
      <c r="D66" s="129">
        <v>7</v>
      </c>
      <c r="E66" s="129">
        <v>26</v>
      </c>
      <c r="F66" s="129">
        <v>35</v>
      </c>
      <c r="G66" s="129">
        <v>25</v>
      </c>
      <c r="H66" s="129">
        <v>6</v>
      </c>
      <c r="I66" s="129">
        <v>18</v>
      </c>
      <c r="J66" s="129">
        <v>74</v>
      </c>
      <c r="K66" s="129">
        <v>38</v>
      </c>
      <c r="L66" s="130">
        <f t="shared" si="6"/>
        <v>242</v>
      </c>
    </row>
    <row r="67" spans="1:13" x14ac:dyDescent="0.2">
      <c r="B67" s="100" t="s">
        <v>151</v>
      </c>
      <c r="C67" s="129"/>
      <c r="D67" s="129"/>
      <c r="E67" s="129"/>
      <c r="F67" s="129"/>
      <c r="G67" s="129">
        <v>1</v>
      </c>
      <c r="H67" s="129"/>
      <c r="I67" s="129"/>
      <c r="J67" s="129"/>
      <c r="K67" s="129"/>
      <c r="L67" s="130">
        <f t="shared" si="6"/>
        <v>1</v>
      </c>
    </row>
    <row r="68" spans="1:13" x14ac:dyDescent="0.2">
      <c r="B68" s="100" t="s">
        <v>123</v>
      </c>
      <c r="C68" s="122"/>
      <c r="D68" s="122"/>
      <c r="E68" s="129"/>
      <c r="F68" s="129"/>
      <c r="G68" s="129"/>
      <c r="H68" s="129"/>
      <c r="I68" s="129"/>
      <c r="J68" s="129"/>
      <c r="K68" s="129"/>
      <c r="L68" s="130">
        <f t="shared" si="6"/>
        <v>0</v>
      </c>
    </row>
    <row r="69" spans="1:13" x14ac:dyDescent="0.2">
      <c r="B69" s="100" t="s">
        <v>89</v>
      </c>
      <c r="C69" s="129">
        <v>2</v>
      </c>
      <c r="D69" s="122">
        <v>2</v>
      </c>
      <c r="E69" s="129">
        <v>10</v>
      </c>
      <c r="F69" s="129">
        <v>17</v>
      </c>
      <c r="G69" s="129"/>
      <c r="H69" s="129">
        <v>1</v>
      </c>
      <c r="I69" s="129"/>
      <c r="J69" s="129">
        <v>4</v>
      </c>
      <c r="K69" s="129"/>
      <c r="L69" s="130">
        <f t="shared" si="6"/>
        <v>36</v>
      </c>
    </row>
    <row r="70" spans="1:13" x14ac:dyDescent="0.2">
      <c r="B70" s="100" t="s">
        <v>152</v>
      </c>
      <c r="C70" s="129"/>
      <c r="D70" s="122"/>
      <c r="E70" s="129">
        <v>1</v>
      </c>
      <c r="F70" s="129"/>
      <c r="G70" s="129"/>
      <c r="H70" s="129"/>
      <c r="I70" s="129"/>
      <c r="J70" s="129"/>
      <c r="K70" s="129"/>
      <c r="L70" s="130">
        <f t="shared" si="6"/>
        <v>1</v>
      </c>
    </row>
    <row r="71" spans="1:13" x14ac:dyDescent="0.2">
      <c r="B71" s="100" t="s">
        <v>43</v>
      </c>
      <c r="C71" s="129">
        <v>3</v>
      </c>
      <c r="D71" s="122">
        <v>7</v>
      </c>
      <c r="E71" s="129">
        <v>11</v>
      </c>
      <c r="F71" s="129">
        <v>11</v>
      </c>
      <c r="G71" s="129">
        <v>7</v>
      </c>
      <c r="H71" s="129">
        <v>6</v>
      </c>
      <c r="I71" s="129"/>
      <c r="J71" s="129">
        <v>16</v>
      </c>
      <c r="K71" s="129">
        <v>12</v>
      </c>
      <c r="L71" s="130">
        <f t="shared" si="6"/>
        <v>73</v>
      </c>
    </row>
    <row r="72" spans="1:13" x14ac:dyDescent="0.2">
      <c r="B72" s="100" t="s">
        <v>42</v>
      </c>
      <c r="C72" s="122"/>
      <c r="D72" s="122"/>
      <c r="E72" s="122">
        <v>1</v>
      </c>
      <c r="F72" s="129"/>
      <c r="G72" s="122"/>
      <c r="H72" s="129"/>
      <c r="I72" s="129"/>
      <c r="J72" s="129"/>
      <c r="K72" s="129">
        <v>1</v>
      </c>
      <c r="L72" s="130">
        <f t="shared" si="6"/>
        <v>2</v>
      </c>
    </row>
    <row r="73" spans="1:13" x14ac:dyDescent="0.2">
      <c r="B73" s="100" t="s">
        <v>114</v>
      </c>
      <c r="C73" s="122"/>
      <c r="D73" s="122"/>
      <c r="E73" s="122"/>
      <c r="F73" s="129"/>
      <c r="G73" s="122"/>
      <c r="H73" s="129"/>
      <c r="I73" s="129"/>
      <c r="J73" s="129"/>
      <c r="K73" s="129"/>
      <c r="L73" s="130">
        <f t="shared" si="6"/>
        <v>0</v>
      </c>
    </row>
    <row r="74" spans="1:13" x14ac:dyDescent="0.2">
      <c r="B74" s="111" t="s">
        <v>72</v>
      </c>
      <c r="C74" s="122"/>
      <c r="D74" s="122"/>
      <c r="E74" s="122"/>
      <c r="F74" s="129"/>
      <c r="G74" s="122"/>
      <c r="H74" s="129"/>
      <c r="I74" s="122"/>
      <c r="J74" s="122"/>
      <c r="K74" s="129"/>
      <c r="L74" s="130">
        <f t="shared" si="6"/>
        <v>0</v>
      </c>
    </row>
    <row r="75" spans="1:13" ht="13.5" thickBot="1" x14ac:dyDescent="0.25">
      <c r="B75" s="66" t="s">
        <v>66</v>
      </c>
      <c r="C75" s="3"/>
      <c r="D75" s="3"/>
      <c r="E75" s="3"/>
      <c r="F75" s="3">
        <v>3</v>
      </c>
      <c r="G75" s="3">
        <v>5</v>
      </c>
      <c r="H75" s="3"/>
      <c r="I75" s="3"/>
      <c r="J75" s="3">
        <v>10</v>
      </c>
      <c r="K75" s="3"/>
      <c r="L75" s="176">
        <f t="shared" si="6"/>
        <v>18</v>
      </c>
    </row>
    <row r="76" spans="1:13" ht="13.5" thickTop="1" x14ac:dyDescent="0.2">
      <c r="B76" s="58" t="s">
        <v>7</v>
      </c>
      <c r="C76" s="38">
        <f t="shared" ref="C76:L76" si="7">SUM(C49:C75)</f>
        <v>27</v>
      </c>
      <c r="D76" s="38">
        <f t="shared" si="7"/>
        <v>33</v>
      </c>
      <c r="E76" s="38">
        <f t="shared" si="7"/>
        <v>82</v>
      </c>
      <c r="F76" s="38">
        <f t="shared" si="7"/>
        <v>90</v>
      </c>
      <c r="G76" s="38">
        <f t="shared" si="7"/>
        <v>91</v>
      </c>
      <c r="H76" s="38">
        <f t="shared" si="7"/>
        <v>26</v>
      </c>
      <c r="I76" s="38">
        <f t="shared" si="7"/>
        <v>26</v>
      </c>
      <c r="J76" s="38">
        <f t="shared" si="7"/>
        <v>183</v>
      </c>
      <c r="K76" s="38">
        <f t="shared" si="7"/>
        <v>71</v>
      </c>
      <c r="L76" s="38">
        <f t="shared" si="7"/>
        <v>629</v>
      </c>
    </row>
    <row r="77" spans="1:13" x14ac:dyDescent="0.2">
      <c r="B77" s="50"/>
      <c r="C77" s="29"/>
      <c r="D77" s="29"/>
      <c r="E77" s="29"/>
      <c r="F77" s="29"/>
      <c r="G77" s="29"/>
      <c r="H77" s="29"/>
      <c r="I77" s="29"/>
      <c r="J77" s="29"/>
      <c r="K77" s="29"/>
      <c r="L77" s="4"/>
    </row>
    <row r="78" spans="1:13" x14ac:dyDescent="0.2">
      <c r="A78" s="137" t="s">
        <v>57</v>
      </c>
      <c r="B78" s="143"/>
      <c r="C78" s="165"/>
      <c r="D78" s="31"/>
    </row>
    <row r="79" spans="1:13" x14ac:dyDescent="0.2">
      <c r="A79" s="40"/>
      <c r="B79" s="59"/>
      <c r="C79" s="33"/>
      <c r="D79" s="43" t="s">
        <v>62</v>
      </c>
      <c r="E79" s="43" t="s">
        <v>20</v>
      </c>
      <c r="F79" s="33"/>
      <c r="G79" s="44" t="s">
        <v>63</v>
      </c>
      <c r="H79" s="33"/>
      <c r="I79" s="33"/>
      <c r="J79" s="43" t="s">
        <v>29</v>
      </c>
      <c r="K79" s="33"/>
      <c r="L79" s="33"/>
      <c r="M79" s="62" t="s">
        <v>14</v>
      </c>
    </row>
    <row r="80" spans="1:13" x14ac:dyDescent="0.2">
      <c r="A80" s="31"/>
      <c r="B80" s="47" t="s">
        <v>58</v>
      </c>
      <c r="C80" s="29" t="s">
        <v>59</v>
      </c>
      <c r="D80" s="47" t="s">
        <v>61</v>
      </c>
      <c r="E80" s="47" t="s">
        <v>83</v>
      </c>
      <c r="F80" s="47" t="s">
        <v>109</v>
      </c>
      <c r="G80" s="47" t="s">
        <v>64</v>
      </c>
      <c r="H80" s="47" t="s">
        <v>53</v>
      </c>
      <c r="I80" s="47" t="s">
        <v>60</v>
      </c>
      <c r="J80" s="29" t="s">
        <v>33</v>
      </c>
      <c r="K80" s="4" t="s">
        <v>213</v>
      </c>
      <c r="L80" s="47" t="s">
        <v>84</v>
      </c>
      <c r="M80" s="36"/>
    </row>
    <row r="81" spans="1:13" x14ac:dyDescent="0.2">
      <c r="A81" s="60" t="s">
        <v>26</v>
      </c>
      <c r="B81" s="47" t="s">
        <v>115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6"/>
    </row>
    <row r="82" spans="1:13" x14ac:dyDescent="0.2">
      <c r="A82" s="60" t="s">
        <v>100</v>
      </c>
      <c r="B82" s="47">
        <v>46930</v>
      </c>
      <c r="C82" s="29">
        <f>86+42+23</f>
        <v>151</v>
      </c>
      <c r="D82" s="29">
        <v>1402</v>
      </c>
      <c r="E82" s="4">
        <f>4+43+14+8+79+25+30+67+30+1</f>
        <v>301</v>
      </c>
      <c r="F82" s="4">
        <f>49+3+18+4+1+5+4+5+2+33+16+11+4+66+3+4+2+9+3+10+2+6+19+14+4+8+1+15+2+21+7+1+6+3+12+8+9+3+24+5+2+2+3</f>
        <v>429</v>
      </c>
      <c r="G82" s="29">
        <v>276</v>
      </c>
      <c r="H82" s="4">
        <f>20+175+2952</f>
        <v>3147</v>
      </c>
      <c r="I82" s="4">
        <v>9</v>
      </c>
      <c r="J82" s="29">
        <v>17</v>
      </c>
      <c r="K82" s="4">
        <v>120</v>
      </c>
      <c r="L82" s="29">
        <f>M84+M85</f>
        <v>4554</v>
      </c>
      <c r="M82" s="36">
        <f>SUM(B82:L82)</f>
        <v>57336</v>
      </c>
    </row>
    <row r="83" spans="1:13" x14ac:dyDescent="0.2">
      <c r="A83" s="41"/>
      <c r="B83" s="38"/>
      <c r="C83" s="38"/>
      <c r="D83" s="38"/>
      <c r="E83" s="38"/>
      <c r="F83" s="38"/>
      <c r="G83" s="57" t="s">
        <v>92</v>
      </c>
      <c r="H83" s="38"/>
      <c r="I83" s="38"/>
      <c r="J83" s="38"/>
      <c r="K83" s="38"/>
      <c r="L83" s="55"/>
      <c r="M83" s="39"/>
    </row>
    <row r="84" spans="1:13" x14ac:dyDescent="0.2">
      <c r="A84" s="29"/>
      <c r="B84" s="29"/>
      <c r="C84" s="29"/>
      <c r="D84" s="29"/>
      <c r="E84" s="29"/>
      <c r="F84" s="29"/>
      <c r="G84" s="47"/>
      <c r="H84" s="29"/>
      <c r="J84" s="29"/>
      <c r="K84" s="29" t="s">
        <v>241</v>
      </c>
      <c r="L84" s="29"/>
      <c r="M84">
        <v>4378</v>
      </c>
    </row>
    <row r="85" spans="1:13" x14ac:dyDescent="0.2">
      <c r="A85" s="29"/>
      <c r="B85" s="29"/>
      <c r="C85" s="29"/>
      <c r="D85" s="29"/>
      <c r="E85" s="29"/>
      <c r="F85" s="29"/>
      <c r="G85" s="47"/>
      <c r="H85" s="29"/>
      <c r="J85" s="29"/>
      <c r="K85" s="29" t="s">
        <v>242</v>
      </c>
      <c r="L85" s="29"/>
      <c r="M85">
        <v>176</v>
      </c>
    </row>
    <row r="86" spans="1:13" x14ac:dyDescent="0.2">
      <c r="A86" s="137" t="s">
        <v>86</v>
      </c>
      <c r="B86" s="138"/>
      <c r="C86" s="64">
        <v>274</v>
      </c>
      <c r="F86" s="137" t="s">
        <v>48</v>
      </c>
      <c r="G86" s="138"/>
      <c r="H86" s="64">
        <v>182</v>
      </c>
      <c r="J86" s="137" t="s">
        <v>73</v>
      </c>
      <c r="K86" s="142"/>
      <c r="L86" s="142"/>
      <c r="M86" s="34">
        <v>31</v>
      </c>
    </row>
    <row r="87" spans="1:13" x14ac:dyDescent="0.2">
      <c r="A87" s="153" t="s">
        <v>81</v>
      </c>
      <c r="B87" s="150"/>
      <c r="C87" s="42">
        <v>873</v>
      </c>
      <c r="F87" s="140" t="s">
        <v>49</v>
      </c>
      <c r="G87" s="141"/>
      <c r="H87" s="65">
        <v>190</v>
      </c>
      <c r="J87" s="140" t="s">
        <v>74</v>
      </c>
      <c r="K87" s="152"/>
      <c r="L87" s="152"/>
      <c r="M87" s="39">
        <v>0</v>
      </c>
    </row>
    <row r="88" spans="1:13" x14ac:dyDescent="0.2">
      <c r="A88" s="140" t="s">
        <v>87</v>
      </c>
      <c r="B88" s="152"/>
      <c r="C88" s="39">
        <v>20</v>
      </c>
      <c r="D88" s="2"/>
    </row>
    <row r="89" spans="1:13" x14ac:dyDescent="0.2">
      <c r="A89" s="1"/>
      <c r="B89" s="1"/>
      <c r="D89" s="6"/>
      <c r="G89" s="6"/>
      <c r="H89" s="6"/>
      <c r="I89" s="6"/>
      <c r="J89" s="6"/>
      <c r="K89" s="6"/>
      <c r="L89" s="6"/>
      <c r="M89" s="6"/>
    </row>
    <row r="90" spans="1:13" x14ac:dyDescent="0.2">
      <c r="A90" s="137" t="s">
        <v>35</v>
      </c>
      <c r="B90" s="143"/>
      <c r="C90" s="144"/>
      <c r="D90" s="6"/>
      <c r="E90" s="137" t="s">
        <v>36</v>
      </c>
      <c r="F90" s="138"/>
      <c r="G90" s="145"/>
      <c r="I90" s="137" t="s">
        <v>44</v>
      </c>
      <c r="J90" s="138"/>
      <c r="K90" s="138"/>
      <c r="L90" s="145"/>
      <c r="M90" s="6"/>
    </row>
    <row r="91" spans="1:13" x14ac:dyDescent="0.2">
      <c r="A91" s="89" t="s">
        <v>117</v>
      </c>
      <c r="B91" s="29"/>
      <c r="C91" s="36">
        <v>3</v>
      </c>
      <c r="D91" s="6"/>
      <c r="E91" s="31" t="s">
        <v>9</v>
      </c>
      <c r="F91" s="29"/>
      <c r="G91" s="36">
        <f>501+85</f>
        <v>586</v>
      </c>
      <c r="I91" s="35" t="s">
        <v>127</v>
      </c>
      <c r="J91" s="29"/>
      <c r="K91" s="29"/>
      <c r="L91" s="36">
        <v>683</v>
      </c>
      <c r="M91" s="6"/>
    </row>
    <row r="92" spans="1:13" x14ac:dyDescent="0.2">
      <c r="A92" s="35" t="s">
        <v>28</v>
      </c>
      <c r="B92" s="29"/>
      <c r="C92" s="36">
        <v>3</v>
      </c>
      <c r="D92" s="6"/>
      <c r="E92" s="31" t="s">
        <v>10</v>
      </c>
      <c r="F92" s="29"/>
      <c r="G92" s="36">
        <f>95+71</f>
        <v>166</v>
      </c>
      <c r="I92" s="35" t="s">
        <v>128</v>
      </c>
      <c r="J92" s="29"/>
      <c r="K92" s="29"/>
      <c r="L92" s="36">
        <v>217</v>
      </c>
      <c r="M92" s="6"/>
    </row>
    <row r="93" spans="1:13" x14ac:dyDescent="0.2">
      <c r="A93" s="35" t="s">
        <v>118</v>
      </c>
      <c r="B93" s="29"/>
      <c r="C93" s="36">
        <v>20</v>
      </c>
      <c r="D93" s="6"/>
      <c r="E93" s="31" t="s">
        <v>11</v>
      </c>
      <c r="F93" s="29"/>
      <c r="G93" s="36">
        <v>31</v>
      </c>
      <c r="I93" s="35" t="s">
        <v>45</v>
      </c>
      <c r="J93" s="29"/>
      <c r="K93" s="29"/>
      <c r="L93" s="36">
        <v>22</v>
      </c>
      <c r="M93" s="6"/>
    </row>
    <row r="94" spans="1:13" x14ac:dyDescent="0.2">
      <c r="A94" s="35" t="s">
        <v>119</v>
      </c>
      <c r="B94" s="47"/>
      <c r="C94" s="36">
        <f>544+30+5</f>
        <v>579</v>
      </c>
      <c r="D94" s="6"/>
      <c r="E94" s="31" t="s">
        <v>37</v>
      </c>
      <c r="F94" s="29"/>
      <c r="G94" s="36">
        <f>258+7</f>
        <v>265</v>
      </c>
      <c r="I94" s="35" t="s">
        <v>46</v>
      </c>
      <c r="J94" s="29"/>
      <c r="K94" s="29"/>
      <c r="L94" s="36">
        <v>6</v>
      </c>
      <c r="M94" s="6"/>
    </row>
    <row r="95" spans="1:13" x14ac:dyDescent="0.2">
      <c r="A95" s="35" t="s">
        <v>101</v>
      </c>
      <c r="B95" s="47"/>
      <c r="C95" s="36">
        <f>42+1+12+3</f>
        <v>58</v>
      </c>
      <c r="D95" s="6"/>
      <c r="E95" s="41" t="s">
        <v>38</v>
      </c>
      <c r="F95" s="38"/>
      <c r="G95" s="39">
        <v>0</v>
      </c>
      <c r="I95" s="91" t="s">
        <v>132</v>
      </c>
      <c r="J95" s="38"/>
      <c r="K95" s="38"/>
      <c r="L95" s="39">
        <v>0</v>
      </c>
      <c r="M95" s="6"/>
    </row>
    <row r="96" spans="1:13" x14ac:dyDescent="0.2">
      <c r="A96" s="35" t="s">
        <v>139</v>
      </c>
      <c r="B96" s="47"/>
      <c r="C96" s="36">
        <v>11</v>
      </c>
      <c r="D96" s="6"/>
      <c r="G96" s="6"/>
      <c r="H96" s="6"/>
      <c r="M96" s="6"/>
    </row>
    <row r="97" spans="1:13" x14ac:dyDescent="0.2">
      <c r="A97" s="35" t="s">
        <v>52</v>
      </c>
      <c r="B97" s="61"/>
      <c r="C97" s="36">
        <v>84</v>
      </c>
    </row>
    <row r="98" spans="1:13" x14ac:dyDescent="0.2">
      <c r="A98" s="35" t="s">
        <v>120</v>
      </c>
      <c r="B98" s="29"/>
      <c r="C98" s="36">
        <v>3</v>
      </c>
      <c r="E98" s="137" t="s">
        <v>30</v>
      </c>
      <c r="F98" s="138"/>
      <c r="G98" s="138"/>
      <c r="H98" s="145"/>
    </row>
    <row r="99" spans="1:13" x14ac:dyDescent="0.2">
      <c r="A99" s="89" t="s">
        <v>121</v>
      </c>
      <c r="B99" s="29"/>
      <c r="C99" s="36">
        <v>0</v>
      </c>
      <c r="E99" s="35" t="s">
        <v>31</v>
      </c>
      <c r="F99" s="50"/>
      <c r="G99" s="50"/>
      <c r="H99" s="42">
        <v>44</v>
      </c>
    </row>
    <row r="100" spans="1:13" x14ac:dyDescent="0.2">
      <c r="A100" s="89" t="s">
        <v>122</v>
      </c>
      <c r="B100" s="47"/>
      <c r="C100" s="36">
        <v>0</v>
      </c>
      <c r="E100" s="35" t="s">
        <v>32</v>
      </c>
      <c r="F100" s="47"/>
      <c r="G100" s="47"/>
      <c r="H100" s="42">
        <v>36</v>
      </c>
    </row>
    <row r="101" spans="1:13" x14ac:dyDescent="0.2">
      <c r="A101" s="89" t="s">
        <v>18</v>
      </c>
      <c r="B101" s="29"/>
      <c r="C101" s="51">
        <v>11</v>
      </c>
      <c r="E101" s="37" t="s">
        <v>47</v>
      </c>
      <c r="F101" s="55"/>
      <c r="G101" s="38"/>
      <c r="H101" s="39">
        <v>0</v>
      </c>
      <c r="I101" s="2"/>
      <c r="J101" s="1"/>
    </row>
    <row r="102" spans="1:13" x14ac:dyDescent="0.2">
      <c r="A102" s="91" t="s">
        <v>20</v>
      </c>
      <c r="B102" s="38"/>
      <c r="C102" s="39">
        <f>604+138+98</f>
        <v>840</v>
      </c>
      <c r="E102" s="47"/>
      <c r="F102" s="50"/>
      <c r="G102" s="29"/>
      <c r="H102" s="29"/>
      <c r="I102" s="2"/>
      <c r="J102" s="1"/>
    </row>
    <row r="103" spans="1:13" x14ac:dyDescent="0.2">
      <c r="A103" s="79"/>
      <c r="B103" s="29"/>
      <c r="C103" s="29"/>
      <c r="E103" s="47"/>
      <c r="F103" s="50"/>
      <c r="G103" s="29"/>
      <c r="H103" s="29"/>
      <c r="I103" s="137" t="s">
        <v>391</v>
      </c>
      <c r="J103" s="138"/>
      <c r="K103" s="33"/>
      <c r="L103" s="33"/>
      <c r="M103" s="34"/>
    </row>
    <row r="104" spans="1:13" x14ac:dyDescent="0.2">
      <c r="A104" s="79"/>
      <c r="B104" s="29"/>
      <c r="C104" s="29"/>
      <c r="I104" s="37" t="s">
        <v>390</v>
      </c>
      <c r="J104" s="55"/>
      <c r="K104" s="38">
        <v>150</v>
      </c>
      <c r="L104" s="38">
        <v>146</v>
      </c>
      <c r="M104" s="39" t="s">
        <v>392</v>
      </c>
    </row>
    <row r="105" spans="1:13" x14ac:dyDescent="0.2">
      <c r="A105" s="132" t="s">
        <v>67</v>
      </c>
      <c r="B105" s="148"/>
      <c r="C105" s="147"/>
      <c r="D105" s="147"/>
      <c r="E105" s="60" t="s">
        <v>165</v>
      </c>
      <c r="I105" s="2"/>
      <c r="J105" s="1"/>
    </row>
    <row r="106" spans="1:13" x14ac:dyDescent="0.2">
      <c r="B106" s="1" t="s">
        <v>68</v>
      </c>
      <c r="D106" s="1" t="s">
        <v>96</v>
      </c>
      <c r="E106" s="58" t="s">
        <v>166</v>
      </c>
      <c r="F106" s="60"/>
      <c r="I106" s="149" t="s">
        <v>70</v>
      </c>
      <c r="J106" s="149"/>
    </row>
    <row r="107" spans="1:13" x14ac:dyDescent="0.2">
      <c r="A107" s="1" t="s">
        <v>69</v>
      </c>
      <c r="B107" s="193" t="s">
        <v>347</v>
      </c>
      <c r="C107" s="12"/>
      <c r="D107" s="12">
        <v>1997</v>
      </c>
      <c r="E107" s="110"/>
      <c r="F107" s="159"/>
      <c r="H107" s="4"/>
      <c r="I107" s="81"/>
      <c r="J107" s="85"/>
      <c r="K107" s="59" t="s">
        <v>95</v>
      </c>
      <c r="L107" s="59" t="s">
        <v>96</v>
      </c>
      <c r="M107" s="64" t="s">
        <v>125</v>
      </c>
    </row>
    <row r="108" spans="1:13" x14ac:dyDescent="0.2">
      <c r="B108" s="226" t="s">
        <v>140</v>
      </c>
      <c r="C108" s="227"/>
      <c r="D108" s="32"/>
      <c r="E108" s="111">
        <v>226</v>
      </c>
      <c r="F108" s="31"/>
      <c r="H108" s="1"/>
      <c r="I108" s="60" t="s">
        <v>133</v>
      </c>
      <c r="J108" s="50"/>
      <c r="L108">
        <v>1472</v>
      </c>
      <c r="M108" s="36"/>
    </row>
    <row r="109" spans="1:13" x14ac:dyDescent="0.2">
      <c r="A109" s="1"/>
      <c r="B109" s="228" t="s">
        <v>97</v>
      </c>
      <c r="C109" s="229"/>
      <c r="D109" s="15">
        <v>836</v>
      </c>
      <c r="E109" s="157"/>
      <c r="F109" s="31"/>
      <c r="I109" s="60" t="s">
        <v>212</v>
      </c>
      <c r="K109" s="29"/>
      <c r="L109" s="29">
        <v>1393</v>
      </c>
      <c r="M109" s="36"/>
    </row>
    <row r="110" spans="1:13" x14ac:dyDescent="0.2">
      <c r="B110" s="194" t="s">
        <v>348</v>
      </c>
      <c r="C110" s="15"/>
      <c r="D110" s="15">
        <v>177</v>
      </c>
      <c r="E110" s="112"/>
      <c r="F110" s="160"/>
      <c r="I110" s="35" t="s">
        <v>134</v>
      </c>
      <c r="J110" s="50"/>
      <c r="K110" s="50"/>
      <c r="L110" s="47"/>
      <c r="M110" s="63"/>
    </row>
    <row r="111" spans="1:13" x14ac:dyDescent="0.2">
      <c r="B111" s="30" t="s">
        <v>142</v>
      </c>
      <c r="C111" s="15"/>
      <c r="D111" s="15">
        <v>139</v>
      </c>
      <c r="E111" s="112"/>
      <c r="F111" s="160"/>
      <c r="I111" s="60" t="s">
        <v>145</v>
      </c>
      <c r="J111" s="50"/>
      <c r="K111" s="50"/>
      <c r="L111" s="47">
        <v>103</v>
      </c>
      <c r="M111" s="63"/>
    </row>
    <row r="112" spans="1:13" x14ac:dyDescent="0.2">
      <c r="A112" s="1"/>
      <c r="B112" s="232" t="s">
        <v>244</v>
      </c>
      <c r="C112" s="233"/>
      <c r="D112" s="15"/>
      <c r="E112" s="112">
        <v>41</v>
      </c>
      <c r="F112" s="160" t="s">
        <v>245</v>
      </c>
      <c r="H112" s="1"/>
      <c r="I112" s="58"/>
      <c r="J112" s="55"/>
      <c r="K112" s="83"/>
      <c r="L112" s="83"/>
      <c r="M112" s="84"/>
    </row>
    <row r="113" spans="1:13" x14ac:dyDescent="0.2">
      <c r="A113" s="1" t="s">
        <v>77</v>
      </c>
      <c r="B113" s="197" t="s">
        <v>110</v>
      </c>
      <c r="C113" s="198"/>
      <c r="D113" s="30">
        <v>67</v>
      </c>
      <c r="E113" s="113"/>
      <c r="F113" s="160"/>
      <c r="H113" s="1"/>
      <c r="I113" s="47"/>
      <c r="J113" s="29"/>
      <c r="K113" s="29"/>
      <c r="L113" s="78"/>
      <c r="M113" s="78"/>
    </row>
    <row r="114" spans="1:13" x14ac:dyDescent="0.2">
      <c r="B114" s="30" t="s">
        <v>93</v>
      </c>
      <c r="C114" s="30"/>
      <c r="D114" s="30">
        <v>181</v>
      </c>
      <c r="E114" s="113"/>
      <c r="F114" s="161"/>
      <c r="H114" s="1"/>
      <c r="I114" s="149" t="s">
        <v>107</v>
      </c>
      <c r="J114" s="146"/>
      <c r="K114" s="146"/>
      <c r="L114" s="78"/>
      <c r="M114" s="78"/>
    </row>
    <row r="115" spans="1:13" x14ac:dyDescent="0.2">
      <c r="B115" s="14" t="s">
        <v>94</v>
      </c>
      <c r="C115" s="14"/>
      <c r="D115" s="13">
        <v>140</v>
      </c>
      <c r="E115" s="115"/>
      <c r="F115" s="161"/>
      <c r="I115" s="87" t="s">
        <v>111</v>
      </c>
      <c r="J115" s="33"/>
      <c r="K115" s="88">
        <v>1177</v>
      </c>
      <c r="L115" s="78"/>
      <c r="M115" s="78"/>
    </row>
    <row r="116" spans="1:13" x14ac:dyDescent="0.2">
      <c r="A116" s="1"/>
      <c r="B116" s="222"/>
      <c r="C116" s="223"/>
      <c r="D116" s="13"/>
      <c r="E116" s="115"/>
      <c r="F116" s="161"/>
      <c r="I116" s="89" t="s">
        <v>96</v>
      </c>
      <c r="J116" s="4"/>
      <c r="K116" s="90">
        <v>620</v>
      </c>
      <c r="L116" s="78"/>
      <c r="M116" s="78"/>
    </row>
    <row r="117" spans="1:13" x14ac:dyDescent="0.2">
      <c r="A117" s="1" t="s">
        <v>98</v>
      </c>
      <c r="B117" s="230" t="s">
        <v>349</v>
      </c>
      <c r="C117" s="231"/>
      <c r="D117" s="13">
        <v>207</v>
      </c>
      <c r="E117" s="115"/>
      <c r="F117" s="162" t="s">
        <v>351</v>
      </c>
      <c r="I117" s="92"/>
      <c r="J117" s="93"/>
      <c r="K117" s="82"/>
      <c r="L117" s="78"/>
      <c r="M117" s="78"/>
    </row>
    <row r="118" spans="1:13" x14ac:dyDescent="0.2">
      <c r="B118" s="226" t="s">
        <v>78</v>
      </c>
      <c r="C118" s="227"/>
      <c r="D118" s="11">
        <v>0</v>
      </c>
      <c r="E118" s="111"/>
      <c r="F118" s="31"/>
      <c r="I118" s="150" t="s">
        <v>112</v>
      </c>
      <c r="J118" s="150"/>
      <c r="K118" s="151"/>
      <c r="L118" s="78"/>
      <c r="M118" s="78"/>
    </row>
    <row r="119" spans="1:13" x14ac:dyDescent="0.2">
      <c r="B119" s="222"/>
      <c r="C119" s="223"/>
      <c r="D119" s="11"/>
      <c r="E119" s="100"/>
      <c r="F119" s="31"/>
      <c r="I119" s="87"/>
      <c r="J119" s="33"/>
      <c r="K119" s="43" t="s">
        <v>24</v>
      </c>
      <c r="L119" s="97" t="s">
        <v>25</v>
      </c>
      <c r="M119" s="98" t="s">
        <v>14</v>
      </c>
    </row>
    <row r="120" spans="1:13" x14ac:dyDescent="0.2">
      <c r="A120" s="1" t="s">
        <v>75</v>
      </c>
      <c r="B120" s="13" t="s">
        <v>79</v>
      </c>
      <c r="C120" s="13"/>
      <c r="D120" s="11">
        <v>9</v>
      </c>
      <c r="E120" s="114">
        <v>129</v>
      </c>
      <c r="F120" s="163"/>
      <c r="I120" s="95" t="s">
        <v>22</v>
      </c>
      <c r="J120" s="86"/>
      <c r="K120" s="29">
        <v>1</v>
      </c>
      <c r="L120" s="29"/>
      <c r="M120" s="94">
        <f t="shared" ref="M120:M125" si="8">SUM(K120:L120)</f>
        <v>1</v>
      </c>
    </row>
    <row r="121" spans="1:13" x14ac:dyDescent="0.2">
      <c r="B121" s="100" t="s">
        <v>144</v>
      </c>
      <c r="D121" s="13">
        <v>4</v>
      </c>
      <c r="E121" s="111"/>
      <c r="F121" s="31"/>
      <c r="I121" s="171" t="s">
        <v>146</v>
      </c>
      <c r="J121" s="86"/>
      <c r="K121" s="29">
        <v>0</v>
      </c>
      <c r="L121" s="29"/>
      <c r="M121" s="94">
        <f t="shared" si="8"/>
        <v>0</v>
      </c>
    </row>
    <row r="122" spans="1:13" x14ac:dyDescent="0.2">
      <c r="A122" s="1"/>
      <c r="B122" s="32" t="s">
        <v>159</v>
      </c>
      <c r="C122" s="13"/>
      <c r="D122" s="13">
        <v>5126</v>
      </c>
      <c r="E122" s="115"/>
      <c r="F122" s="162"/>
      <c r="I122" s="171" t="s">
        <v>170</v>
      </c>
      <c r="J122" s="86"/>
      <c r="K122" s="29">
        <v>0</v>
      </c>
      <c r="L122" s="29"/>
      <c r="M122" s="94">
        <f t="shared" si="8"/>
        <v>0</v>
      </c>
    </row>
    <row r="123" spans="1:13" x14ac:dyDescent="0.2">
      <c r="A123" s="1"/>
      <c r="B123" s="101" t="s">
        <v>135</v>
      </c>
      <c r="C123" s="13"/>
      <c r="D123" s="13">
        <v>173</v>
      </c>
      <c r="E123" s="158"/>
      <c r="F123" s="162"/>
      <c r="I123" s="172" t="s">
        <v>23</v>
      </c>
      <c r="J123" s="173"/>
      <c r="K123" s="93">
        <v>24</v>
      </c>
      <c r="L123" s="93"/>
      <c r="M123" s="174">
        <f t="shared" si="8"/>
        <v>24</v>
      </c>
    </row>
    <row r="124" spans="1:13" x14ac:dyDescent="0.2">
      <c r="A124" s="1"/>
      <c r="B124" s="101" t="s">
        <v>141</v>
      </c>
      <c r="C124" s="13"/>
      <c r="D124" s="13">
        <v>84</v>
      </c>
      <c r="E124" s="158"/>
      <c r="F124" s="162"/>
      <c r="I124" s="171" t="s">
        <v>146</v>
      </c>
      <c r="J124" s="86"/>
      <c r="K124" s="4">
        <v>3</v>
      </c>
      <c r="L124" s="4"/>
      <c r="M124" s="94">
        <f t="shared" si="8"/>
        <v>3</v>
      </c>
    </row>
    <row r="125" spans="1:13" x14ac:dyDescent="0.2">
      <c r="A125" s="1"/>
      <c r="B125" s="101" t="s">
        <v>126</v>
      </c>
      <c r="C125" s="13"/>
      <c r="D125" s="13">
        <v>30</v>
      </c>
      <c r="E125" s="158"/>
      <c r="F125" s="162"/>
      <c r="I125" s="96" t="s">
        <v>274</v>
      </c>
      <c r="J125" s="83"/>
      <c r="K125" s="52">
        <v>0</v>
      </c>
      <c r="L125" s="52"/>
      <c r="M125" s="80">
        <f t="shared" si="8"/>
        <v>0</v>
      </c>
    </row>
    <row r="126" spans="1:13" x14ac:dyDescent="0.2">
      <c r="B126" s="111" t="s">
        <v>350</v>
      </c>
      <c r="C126" s="122"/>
      <c r="D126" s="183">
        <v>19</v>
      </c>
      <c r="E126" s="158"/>
      <c r="F126" s="162" t="s">
        <v>351</v>
      </c>
      <c r="I126" s="4"/>
      <c r="J126" s="4"/>
      <c r="K126" s="4"/>
      <c r="L126" s="4"/>
      <c r="M126" s="4"/>
    </row>
    <row r="127" spans="1:13" x14ac:dyDescent="0.2">
      <c r="C127" s="1" t="s">
        <v>7</v>
      </c>
      <c r="D127">
        <f>SUM(D107:D126)</f>
        <v>9189</v>
      </c>
      <c r="E127">
        <f>SUM(E107:E126)</f>
        <v>396</v>
      </c>
      <c r="I127" s="132" t="s">
        <v>106</v>
      </c>
      <c r="J127" s="139"/>
      <c r="K127" s="105">
        <v>2</v>
      </c>
      <c r="L127" s="95"/>
      <c r="M127" s="86"/>
    </row>
    <row r="128" spans="1:13" x14ac:dyDescent="0.2">
      <c r="B128" s="199"/>
      <c r="C128" s="1"/>
      <c r="I128" s="132" t="s">
        <v>136</v>
      </c>
      <c r="J128" s="139"/>
      <c r="K128" s="105">
        <v>2</v>
      </c>
      <c r="L128" s="79" t="s">
        <v>138</v>
      </c>
      <c r="M128" s="86"/>
    </row>
    <row r="129" spans="1:13" x14ac:dyDescent="0.2">
      <c r="C129" s="1"/>
      <c r="I129" s="86"/>
      <c r="J129" s="86"/>
      <c r="K129" s="79"/>
      <c r="L129" s="79"/>
      <c r="M129" s="86"/>
    </row>
    <row r="130" spans="1:13" x14ac:dyDescent="0.2">
      <c r="C130" s="1"/>
      <c r="I130" s="86"/>
      <c r="J130" s="86"/>
      <c r="K130" s="79"/>
      <c r="L130" s="79"/>
      <c r="M130" s="86"/>
    </row>
    <row r="131" spans="1:13" x14ac:dyDescent="0.2">
      <c r="A131" s="29"/>
      <c r="B131" s="29"/>
      <c r="C131" s="29"/>
      <c r="D131" s="29"/>
      <c r="E131" s="29"/>
      <c r="F131" s="29"/>
      <c r="I131" s="86"/>
      <c r="J131" s="86"/>
      <c r="K131" s="79"/>
      <c r="L131" s="79"/>
      <c r="M131" s="86"/>
    </row>
    <row r="132" spans="1:13" x14ac:dyDescent="0.2">
      <c r="A132" s="137" t="s">
        <v>91</v>
      </c>
      <c r="B132" s="138"/>
      <c r="C132" s="138"/>
      <c r="D132" s="138"/>
      <c r="E132" s="142"/>
      <c r="F132" s="33"/>
      <c r="G132" s="33"/>
      <c r="H132" s="33"/>
      <c r="I132" s="33"/>
      <c r="J132" s="33"/>
      <c r="K132" s="33"/>
      <c r="L132" s="34"/>
    </row>
    <row r="133" spans="1:13" x14ac:dyDescent="0.2">
      <c r="A133" s="31"/>
      <c r="B133" s="29"/>
      <c r="C133" s="50" t="s">
        <v>3</v>
      </c>
      <c r="D133" s="50" t="s">
        <v>4</v>
      </c>
      <c r="E133" s="50" t="s">
        <v>0</v>
      </c>
      <c r="F133" s="50" t="s">
        <v>1</v>
      </c>
      <c r="G133" s="50" t="s">
        <v>2</v>
      </c>
      <c r="H133" s="50" t="s">
        <v>5</v>
      </c>
      <c r="I133" s="50" t="s">
        <v>6</v>
      </c>
      <c r="J133" s="50" t="s">
        <v>27</v>
      </c>
      <c r="K133" s="50" t="s">
        <v>39</v>
      </c>
      <c r="L133" s="63" t="s">
        <v>14</v>
      </c>
    </row>
    <row r="134" spans="1:13" x14ac:dyDescent="0.2">
      <c r="A134" s="31"/>
      <c r="B134" s="50" t="s">
        <v>161</v>
      </c>
      <c r="C134" s="29">
        <f>54+50+7</f>
        <v>111</v>
      </c>
      <c r="D134" s="29">
        <f>19+20+2</f>
        <v>41</v>
      </c>
      <c r="E134" s="29">
        <f>293+324+33</f>
        <v>650</v>
      </c>
      <c r="F134" s="4">
        <f>201+194+49</f>
        <v>444</v>
      </c>
      <c r="G134" s="4">
        <f>99+58+10</f>
        <v>167</v>
      </c>
      <c r="H134" s="4"/>
      <c r="I134" s="4">
        <f>23+18</f>
        <v>41</v>
      </c>
      <c r="J134" s="4">
        <f>89+119+20</f>
        <v>228</v>
      </c>
      <c r="K134" s="4">
        <f>153+171+38</f>
        <v>362</v>
      </c>
      <c r="L134" s="51">
        <f>SUM(C134:K134)</f>
        <v>2044</v>
      </c>
    </row>
    <row r="135" spans="1:13" x14ac:dyDescent="0.2">
      <c r="A135" s="31"/>
      <c r="B135" s="50" t="s">
        <v>9</v>
      </c>
      <c r="C135" s="169" t="s">
        <v>394</v>
      </c>
      <c r="D135" s="169" t="s">
        <v>394</v>
      </c>
      <c r="E135" s="169" t="s">
        <v>394</v>
      </c>
      <c r="F135" s="170">
        <f>58+61+13</f>
        <v>132</v>
      </c>
      <c r="G135" s="170" t="s">
        <v>394</v>
      </c>
      <c r="H135" s="170"/>
      <c r="I135" s="170" t="s">
        <v>394</v>
      </c>
      <c r="J135" s="170">
        <f>67+90+18</f>
        <v>175</v>
      </c>
      <c r="K135" s="170" t="s">
        <v>394</v>
      </c>
      <c r="L135" s="51">
        <f>SUM(C135:K135)</f>
        <v>307</v>
      </c>
    </row>
    <row r="136" spans="1:13" ht="13.5" thickBot="1" x14ac:dyDescent="0.25">
      <c r="A136" s="31"/>
      <c r="B136" s="10" t="s">
        <v>162</v>
      </c>
      <c r="C136" s="155">
        <v>0</v>
      </c>
      <c r="D136" s="155">
        <v>0</v>
      </c>
      <c r="E136" s="155">
        <v>9</v>
      </c>
      <c r="F136" s="155">
        <v>4</v>
      </c>
      <c r="G136" s="155">
        <v>0</v>
      </c>
      <c r="H136" s="155"/>
      <c r="I136" s="168" t="s">
        <v>394</v>
      </c>
      <c r="J136" s="155">
        <v>1</v>
      </c>
      <c r="K136" s="155">
        <v>0</v>
      </c>
      <c r="L136" s="131">
        <f>SUM(C136:K136)</f>
        <v>14</v>
      </c>
    </row>
    <row r="137" spans="1:13" ht="13.5" thickTop="1" x14ac:dyDescent="0.2">
      <c r="A137" s="31"/>
      <c r="B137" s="50" t="s">
        <v>14</v>
      </c>
      <c r="C137" s="29">
        <f>SUM(C134:C136)</f>
        <v>111</v>
      </c>
      <c r="D137" s="29">
        <f>SUM(D134:D136)</f>
        <v>41</v>
      </c>
      <c r="E137" s="29">
        <f t="shared" ref="E137:L137" si="9">SUM(E134:E136)</f>
        <v>659</v>
      </c>
      <c r="F137" s="29">
        <f t="shared" si="9"/>
        <v>580</v>
      </c>
      <c r="G137" s="29">
        <f t="shared" si="9"/>
        <v>167</v>
      </c>
      <c r="H137" s="29">
        <f t="shared" si="9"/>
        <v>0</v>
      </c>
      <c r="I137" s="29">
        <f t="shared" si="9"/>
        <v>41</v>
      </c>
      <c r="J137" s="29">
        <f t="shared" si="9"/>
        <v>404</v>
      </c>
      <c r="K137" s="29">
        <f t="shared" si="9"/>
        <v>362</v>
      </c>
      <c r="L137" s="42">
        <f t="shared" si="9"/>
        <v>2365</v>
      </c>
    </row>
    <row r="138" spans="1:13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63"/>
    </row>
    <row r="139" spans="1:13" x14ac:dyDescent="0.2">
      <c r="A139" s="58" t="s">
        <v>76</v>
      </c>
      <c r="B139" s="55"/>
      <c r="C139" s="38">
        <v>12</v>
      </c>
      <c r="D139" s="38">
        <v>12</v>
      </c>
      <c r="E139" s="38">
        <v>23</v>
      </c>
      <c r="F139" s="38">
        <v>19</v>
      </c>
      <c r="G139" s="38">
        <v>18</v>
      </c>
      <c r="H139" s="38">
        <v>17</v>
      </c>
      <c r="I139" s="38">
        <v>4</v>
      </c>
      <c r="J139" s="38">
        <v>23</v>
      </c>
      <c r="K139" s="38">
        <v>17</v>
      </c>
      <c r="L139" s="39">
        <f>SUM(C138:K138)</f>
        <v>0</v>
      </c>
    </row>
    <row r="140" spans="1:13" x14ac:dyDescent="0.2">
      <c r="B140" s="50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3" ht="18" x14ac:dyDescent="0.25">
      <c r="A141" s="137" t="s">
        <v>164</v>
      </c>
      <c r="B141" s="144"/>
      <c r="C141" s="147"/>
      <c r="F141" s="8"/>
      <c r="G141" s="7"/>
      <c r="H141" s="9"/>
      <c r="I141" s="9"/>
      <c r="J141" s="7"/>
    </row>
    <row r="142" spans="1:13" ht="18" x14ac:dyDescent="0.25">
      <c r="A142" s="25" t="s">
        <v>82</v>
      </c>
      <c r="B142" s="26"/>
      <c r="C142" s="26"/>
      <c r="D142" s="16"/>
      <c r="E142" s="16"/>
      <c r="F142" s="17"/>
      <c r="G142" s="26" t="s">
        <v>160</v>
      </c>
      <c r="H142" s="18"/>
      <c r="I142" s="18"/>
      <c r="J142" s="18"/>
      <c r="K142" s="16"/>
      <c r="L142" s="16"/>
      <c r="M142" s="19"/>
    </row>
    <row r="143" spans="1:13" ht="18" x14ac:dyDescent="0.25">
      <c r="A143" s="125" t="s">
        <v>393</v>
      </c>
      <c r="B143" s="20"/>
      <c r="C143" s="20"/>
      <c r="D143" s="20"/>
      <c r="E143" s="20"/>
      <c r="F143" s="21"/>
      <c r="G143" s="127" t="s">
        <v>383</v>
      </c>
      <c r="H143" s="22"/>
      <c r="I143" s="68"/>
      <c r="J143" s="69"/>
      <c r="K143" s="70"/>
      <c r="L143" s="70"/>
      <c r="M143" s="103"/>
    </row>
    <row r="144" spans="1:13" ht="18" x14ac:dyDescent="0.25">
      <c r="A144" s="206" t="s">
        <v>389</v>
      </c>
      <c r="B144" s="20"/>
      <c r="C144" s="20"/>
      <c r="D144" s="20"/>
      <c r="E144" s="20"/>
      <c r="F144" s="68"/>
      <c r="G144" s="69"/>
      <c r="H144" s="68"/>
      <c r="I144" s="68"/>
      <c r="J144" s="68"/>
      <c r="K144" s="71"/>
      <c r="L144" s="71"/>
      <c r="M144" s="72"/>
    </row>
    <row r="145" spans="1:13" x14ac:dyDescent="0.2">
      <c r="A145" s="31"/>
      <c r="B145" s="20"/>
      <c r="C145" s="20"/>
      <c r="D145" s="20"/>
      <c r="E145" s="20"/>
      <c r="F145" s="21"/>
      <c r="H145" s="68"/>
      <c r="I145" s="68"/>
      <c r="J145" s="68"/>
      <c r="K145" s="71"/>
      <c r="L145" s="71"/>
      <c r="M145" s="72"/>
    </row>
    <row r="146" spans="1:13" x14ac:dyDescent="0.2">
      <c r="A146" s="31"/>
      <c r="B146" s="29"/>
      <c r="C146" s="29"/>
      <c r="D146" s="29"/>
      <c r="E146" s="29"/>
      <c r="F146" s="29"/>
      <c r="G146" s="28" t="s">
        <v>155</v>
      </c>
      <c r="H146" s="29"/>
      <c r="I146" s="29"/>
      <c r="J146" s="29"/>
      <c r="K146" s="29"/>
      <c r="L146" s="29"/>
      <c r="M146" s="36"/>
    </row>
    <row r="147" spans="1:13" ht="18" x14ac:dyDescent="0.25">
      <c r="A147" s="31"/>
      <c r="B147" s="74"/>
      <c r="C147" s="20"/>
      <c r="D147" s="20"/>
      <c r="E147" s="20"/>
      <c r="F147" s="68"/>
      <c r="G147" s="208" t="s">
        <v>381</v>
      </c>
      <c r="H147" s="68"/>
      <c r="I147" s="22"/>
      <c r="J147" s="45"/>
      <c r="K147" s="20"/>
      <c r="L147" s="20"/>
      <c r="M147" s="23"/>
    </row>
    <row r="148" spans="1:13" ht="18" x14ac:dyDescent="0.25">
      <c r="A148" s="27" t="s">
        <v>154</v>
      </c>
      <c r="B148" s="20"/>
      <c r="C148" s="20"/>
      <c r="D148" s="20"/>
      <c r="E148" s="20"/>
      <c r="F148" s="68"/>
      <c r="G148" s="207" t="s">
        <v>382</v>
      </c>
      <c r="H148" s="22"/>
      <c r="I148" s="68"/>
      <c r="J148" s="68"/>
      <c r="K148" s="20"/>
      <c r="L148" s="20"/>
      <c r="M148" s="23"/>
    </row>
    <row r="149" spans="1:13" ht="18" x14ac:dyDescent="0.25">
      <c r="A149" s="125" t="s">
        <v>387</v>
      </c>
      <c r="B149" s="74"/>
      <c r="C149" s="20"/>
      <c r="D149" s="20"/>
      <c r="E149" s="20"/>
      <c r="F149" s="20"/>
      <c r="G149" s="209" t="s">
        <v>386</v>
      </c>
      <c r="H149" s="22"/>
      <c r="I149" s="22"/>
      <c r="J149" s="22"/>
      <c r="K149" s="22"/>
      <c r="L149" s="20"/>
      <c r="M149" s="23"/>
    </row>
    <row r="150" spans="1:13" x14ac:dyDescent="0.2">
      <c r="A150" s="126" t="s">
        <v>376</v>
      </c>
      <c r="B150" s="28"/>
      <c r="C150" s="28"/>
      <c r="D150" s="20"/>
      <c r="E150" s="28"/>
      <c r="F150" s="77"/>
      <c r="H150" s="29"/>
      <c r="I150" s="68"/>
      <c r="J150" s="68"/>
      <c r="K150" s="20"/>
      <c r="L150" s="20"/>
      <c r="M150" s="23"/>
    </row>
    <row r="151" spans="1:13" x14ac:dyDescent="0.2">
      <c r="A151" s="125" t="s">
        <v>380</v>
      </c>
      <c r="B151" s="20"/>
      <c r="C151" s="20"/>
      <c r="D151" s="20"/>
      <c r="E151" s="20"/>
      <c r="F151" s="77"/>
      <c r="H151" s="29"/>
      <c r="I151" s="68"/>
      <c r="J151" s="68"/>
      <c r="K151" s="20"/>
      <c r="L151" s="20"/>
      <c r="M151" s="23"/>
    </row>
    <row r="152" spans="1:13" x14ac:dyDescent="0.2">
      <c r="A152" s="125" t="s">
        <v>369</v>
      </c>
      <c r="B152" s="20"/>
      <c r="C152" s="20"/>
      <c r="D152" s="20"/>
      <c r="E152" s="20"/>
      <c r="F152" s="77"/>
      <c r="G152" s="28" t="s">
        <v>251</v>
      </c>
      <c r="K152" s="20"/>
      <c r="L152" s="20"/>
      <c r="M152" s="23"/>
    </row>
    <row r="153" spans="1:13" ht="18" x14ac:dyDescent="0.25">
      <c r="A153" s="126" t="s">
        <v>388</v>
      </c>
      <c r="B153" s="29"/>
      <c r="C153" s="29"/>
      <c r="D153" s="29"/>
      <c r="E153" s="29"/>
      <c r="F153" s="21"/>
      <c r="G153" s="127" t="s">
        <v>384</v>
      </c>
      <c r="H153" s="29"/>
      <c r="I153" s="22"/>
      <c r="J153" s="22"/>
      <c r="K153" s="20"/>
      <c r="L153" s="20"/>
      <c r="M153" s="23"/>
    </row>
    <row r="154" spans="1:13" x14ac:dyDescent="0.2">
      <c r="A154" s="206" t="s">
        <v>399</v>
      </c>
      <c r="B154" s="20"/>
      <c r="C154" s="20"/>
      <c r="D154" s="20"/>
      <c r="E154" s="20"/>
      <c r="F154" s="21"/>
      <c r="G154" s="208" t="s">
        <v>385</v>
      </c>
      <c r="H154" s="29"/>
      <c r="I154" s="68"/>
      <c r="J154" s="68"/>
      <c r="K154" s="71"/>
      <c r="L154" s="71"/>
      <c r="M154" s="72"/>
    </row>
    <row r="155" spans="1:13" x14ac:dyDescent="0.2">
      <c r="A155" s="206" t="s">
        <v>398</v>
      </c>
      <c r="B155" s="20"/>
      <c r="C155" s="20"/>
      <c r="D155" s="20"/>
      <c r="E155" s="20"/>
      <c r="F155" s="21"/>
      <c r="G155" s="127"/>
      <c r="H155" s="29"/>
      <c r="I155" s="68"/>
      <c r="J155" s="68"/>
      <c r="K155" s="71"/>
      <c r="L155" s="71"/>
      <c r="M155" s="72"/>
    </row>
    <row r="156" spans="1:13" x14ac:dyDescent="0.2">
      <c r="A156" s="206" t="s">
        <v>400</v>
      </c>
      <c r="B156" s="20"/>
      <c r="C156" s="20"/>
      <c r="D156" s="20"/>
      <c r="E156" s="20"/>
      <c r="F156" s="21"/>
      <c r="G156" s="178"/>
      <c r="H156" s="29"/>
      <c r="I156" s="68"/>
      <c r="J156" s="68"/>
      <c r="K156" s="71"/>
      <c r="L156" s="71"/>
      <c r="M156" s="72"/>
    </row>
    <row r="157" spans="1:13" ht="18" x14ac:dyDescent="0.25">
      <c r="A157" s="31"/>
      <c r="B157" s="20"/>
      <c r="C157" s="20"/>
      <c r="D157" s="20"/>
      <c r="E157" s="20"/>
      <c r="F157" s="21"/>
      <c r="G157" s="109" t="s">
        <v>156</v>
      </c>
      <c r="H157" s="29"/>
      <c r="I157" s="22"/>
      <c r="J157" s="22"/>
      <c r="K157" s="71"/>
      <c r="L157" s="71"/>
      <c r="M157" s="72"/>
    </row>
    <row r="158" spans="1:13" x14ac:dyDescent="0.2">
      <c r="A158" s="116" t="s">
        <v>157</v>
      </c>
      <c r="B158" s="20"/>
      <c r="C158" s="20"/>
      <c r="D158" s="29"/>
      <c r="E158" s="29"/>
      <c r="F158" s="29"/>
      <c r="G158" s="178" t="s">
        <v>396</v>
      </c>
      <c r="H158" s="29"/>
      <c r="I158" s="29"/>
      <c r="J158" s="29"/>
      <c r="K158" s="29"/>
      <c r="L158" s="29"/>
      <c r="M158" s="36"/>
    </row>
    <row r="159" spans="1:13" x14ac:dyDescent="0.2">
      <c r="A159" s="126" t="s">
        <v>377</v>
      </c>
      <c r="B159" s="20"/>
      <c r="C159" s="20"/>
      <c r="D159" s="20"/>
      <c r="E159" s="20"/>
      <c r="F159" s="21"/>
      <c r="G159" s="178" t="s">
        <v>397</v>
      </c>
      <c r="H159" s="29"/>
      <c r="I159" s="29"/>
      <c r="J159" s="29"/>
      <c r="K159" s="71"/>
      <c r="L159" s="71"/>
      <c r="M159" s="72"/>
    </row>
    <row r="160" spans="1:13" x14ac:dyDescent="0.2">
      <c r="A160" s="126" t="s">
        <v>378</v>
      </c>
      <c r="B160" s="28"/>
      <c r="C160" s="28"/>
      <c r="D160" s="20"/>
      <c r="E160" s="20"/>
      <c r="F160" s="21"/>
      <c r="G160" s="178"/>
      <c r="H160" s="29"/>
      <c r="I160" s="68"/>
      <c r="J160" s="68"/>
      <c r="K160" s="71"/>
      <c r="L160" s="71"/>
      <c r="M160" s="72"/>
    </row>
    <row r="161" spans="1:13" x14ac:dyDescent="0.2">
      <c r="A161" s="126" t="s">
        <v>379</v>
      </c>
      <c r="B161" s="20"/>
      <c r="C161" s="20"/>
      <c r="D161" s="20"/>
      <c r="E161" s="74"/>
      <c r="F161" s="20"/>
      <c r="G161" s="178"/>
      <c r="H161" s="29"/>
      <c r="I161" s="20"/>
      <c r="J161" s="68"/>
      <c r="K161" s="29"/>
      <c r="L161" s="29"/>
      <c r="M161" s="36"/>
    </row>
    <row r="162" spans="1:13" ht="18" x14ac:dyDescent="0.25">
      <c r="A162" s="125" t="s">
        <v>395</v>
      </c>
      <c r="B162" s="20"/>
      <c r="C162" s="20"/>
      <c r="D162" s="20"/>
      <c r="E162" s="20"/>
      <c r="F162" s="21"/>
      <c r="G162" s="178"/>
      <c r="H162" s="29"/>
      <c r="I162" s="22"/>
      <c r="J162" s="22"/>
      <c r="K162" s="20"/>
      <c r="L162" s="20"/>
      <c r="M162" s="23"/>
    </row>
    <row r="163" spans="1:13" ht="18" x14ac:dyDescent="0.25">
      <c r="A163" s="31"/>
      <c r="B163" s="20"/>
      <c r="C163" s="20"/>
      <c r="D163" s="20"/>
      <c r="E163" s="74"/>
      <c r="F163" s="68"/>
      <c r="H163" s="69"/>
      <c r="I163" s="68"/>
      <c r="J163" s="69"/>
      <c r="K163" s="70"/>
      <c r="L163" s="70"/>
      <c r="M163" s="23"/>
    </row>
    <row r="164" spans="1:13" ht="18" x14ac:dyDescent="0.25">
      <c r="A164" s="107"/>
      <c r="B164" s="24"/>
      <c r="C164" s="24"/>
      <c r="D164" s="24"/>
      <c r="E164" s="102"/>
      <c r="F164" s="76"/>
      <c r="G164" s="108"/>
      <c r="H164" s="108"/>
      <c r="I164" s="76"/>
      <c r="J164" s="108"/>
      <c r="K164" s="75"/>
      <c r="L164" s="75"/>
      <c r="M164" s="99"/>
    </row>
    <row r="165" spans="1:13" x14ac:dyDescent="0.2">
      <c r="A165" s="74"/>
      <c r="B165" s="21"/>
      <c r="C165" s="68"/>
      <c r="D165" s="68"/>
      <c r="E165" s="68"/>
      <c r="F165" s="68"/>
      <c r="G165" s="71"/>
      <c r="H165" s="71"/>
      <c r="I165" s="71"/>
      <c r="J165" s="71"/>
      <c r="K165" s="70"/>
      <c r="L165" s="70"/>
      <c r="M165" s="20"/>
    </row>
    <row r="168" spans="1:13" x14ac:dyDescent="0.2">
      <c r="I168" s="29"/>
      <c r="J168" s="29"/>
      <c r="K168" s="29"/>
      <c r="L168" s="29"/>
    </row>
    <row r="169" spans="1:13" x14ac:dyDescent="0.2">
      <c r="I169" s="29"/>
      <c r="J169" s="29"/>
      <c r="K169" s="29"/>
      <c r="L169" s="29"/>
    </row>
  </sheetData>
  <mergeCells count="7">
    <mergeCell ref="B119:C119"/>
    <mergeCell ref="B108:C108"/>
    <mergeCell ref="B109:C109"/>
    <mergeCell ref="B112:C112"/>
    <mergeCell ref="B116:C116"/>
    <mergeCell ref="B117:C117"/>
    <mergeCell ref="B118:C118"/>
  </mergeCells>
  <pageMargins left="0.5" right="0.5" top="0.5" bottom="0.5" header="0.3" footer="0.5"/>
  <pageSetup scale="97" fitToHeight="0" orientation="landscape" r:id="rId1"/>
  <headerFooter>
    <oddHeader>&amp;C
&amp;RMarch 2017
 - 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 2016</vt:lpstr>
      <vt:lpstr>Aug 2016</vt:lpstr>
      <vt:lpstr>Sept 2016</vt:lpstr>
      <vt:lpstr>Oct. 2016</vt:lpstr>
      <vt:lpstr>Nov. 2016</vt:lpstr>
      <vt:lpstr>Dec. 2016</vt:lpstr>
      <vt:lpstr>Jan. 2017</vt:lpstr>
      <vt:lpstr>Feb. 2017</vt:lpstr>
      <vt:lpstr>March 2017</vt:lpstr>
      <vt:lpstr>April 2017</vt:lpstr>
      <vt:lpstr>May 2017</vt:lpstr>
      <vt:lpstr>June 2017</vt:lpstr>
      <vt:lpstr>Total 2016-2017</vt:lpstr>
    </vt:vector>
  </TitlesOfParts>
  <Company>npc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libray</dc:creator>
  <cp:lastModifiedBy>Pirog, Stan</cp:lastModifiedBy>
  <cp:lastPrinted>2017-07-05T20:07:12Z</cp:lastPrinted>
  <dcterms:created xsi:type="dcterms:W3CDTF">2001-08-15T20:10:51Z</dcterms:created>
  <dcterms:modified xsi:type="dcterms:W3CDTF">2017-11-17T19:28:20Z</dcterms:modified>
</cp:coreProperties>
</file>