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420" windowHeight="4995" tabRatio="860" firstSheet="1" activeTab="12"/>
  </bookViews>
  <sheets>
    <sheet name="July 2015" sheetId="2" r:id="rId1"/>
    <sheet name="Aug 2015" sheetId="4" r:id="rId2"/>
    <sheet name="Sept 2015" sheetId="5" r:id="rId3"/>
    <sheet name="Oct. 2015" sheetId="6" r:id="rId4"/>
    <sheet name="Nov 2015" sheetId="7" r:id="rId5"/>
    <sheet name="Dec. 2015" sheetId="8" r:id="rId6"/>
    <sheet name="Jan. 2016" sheetId="9" r:id="rId7"/>
    <sheet name="Feb. 2016" sheetId="10" r:id="rId8"/>
    <sheet name="March 2016" sheetId="11" r:id="rId9"/>
    <sheet name="April 2016" sheetId="12" r:id="rId10"/>
    <sheet name="May 2016" sheetId="13" r:id="rId11"/>
    <sheet name="June 2016" sheetId="14" r:id="rId12"/>
    <sheet name="TOTAL 2015-16" sheetId="15" r:id="rId13"/>
  </sheets>
  <calcPr calcId="145621"/>
</workbook>
</file>

<file path=xl/calcChain.xml><?xml version="1.0" encoding="utf-8"?>
<calcChain xmlns="http://schemas.openxmlformats.org/spreadsheetml/2006/main">
  <c r="D40" i="14" l="1"/>
  <c r="E40" i="14"/>
  <c r="F40" i="14"/>
  <c r="G40" i="14"/>
  <c r="H40" i="14"/>
  <c r="I40" i="14"/>
  <c r="J40" i="14"/>
  <c r="K40" i="14"/>
  <c r="L40" i="14"/>
  <c r="C40" i="14"/>
  <c r="D40" i="13"/>
  <c r="E40" i="13"/>
  <c r="F40" i="13"/>
  <c r="G40" i="13"/>
  <c r="H40" i="13"/>
  <c r="I40" i="13"/>
  <c r="J40" i="13"/>
  <c r="K40" i="13"/>
  <c r="L40" i="13"/>
  <c r="C40" i="13"/>
  <c r="D40" i="9"/>
  <c r="E40" i="9"/>
  <c r="F40" i="9"/>
  <c r="G40" i="9"/>
  <c r="H40" i="9"/>
  <c r="I40" i="9"/>
  <c r="J40" i="9"/>
  <c r="K40" i="9"/>
  <c r="C40" i="9"/>
  <c r="D40" i="7"/>
  <c r="E40" i="7"/>
  <c r="F40" i="7"/>
  <c r="G40" i="7"/>
  <c r="H40" i="7"/>
  <c r="I40" i="7"/>
  <c r="J40" i="7"/>
  <c r="K40" i="7"/>
  <c r="C40" i="7"/>
  <c r="D40" i="5"/>
  <c r="E40" i="5"/>
  <c r="F40" i="5"/>
  <c r="G40" i="5"/>
  <c r="H40" i="5"/>
  <c r="I40" i="5"/>
  <c r="J40" i="5"/>
  <c r="K40" i="5"/>
  <c r="C40" i="5"/>
  <c r="D36" i="2"/>
  <c r="E36" i="2"/>
  <c r="F36" i="2"/>
  <c r="G36" i="2"/>
  <c r="H36" i="2"/>
  <c r="I36" i="2"/>
  <c r="J36" i="2"/>
  <c r="K36" i="2"/>
  <c r="C36" i="2"/>
  <c r="C24" i="2"/>
  <c r="M9" i="9" l="1"/>
  <c r="M10" i="9"/>
  <c r="M10" i="8"/>
  <c r="M8" i="8"/>
  <c r="G10" i="8"/>
  <c r="F10" i="8"/>
  <c r="M9" i="4"/>
  <c r="M7" i="2"/>
  <c r="D10" i="14"/>
  <c r="E10" i="14"/>
  <c r="F10" i="14"/>
  <c r="G10" i="14"/>
  <c r="H10" i="14"/>
  <c r="I10" i="14"/>
  <c r="J10" i="14"/>
  <c r="K10" i="14"/>
  <c r="L10" i="14"/>
  <c r="M10" i="14"/>
  <c r="C10" i="14"/>
  <c r="D10" i="13"/>
  <c r="E10" i="13"/>
  <c r="F10" i="13"/>
  <c r="G10" i="13"/>
  <c r="H10" i="13"/>
  <c r="I10" i="13"/>
  <c r="J10" i="13"/>
  <c r="K10" i="13"/>
  <c r="L10" i="13"/>
  <c r="M10" i="13"/>
  <c r="C10" i="13"/>
  <c r="D10" i="12"/>
  <c r="E10" i="12"/>
  <c r="F10" i="12"/>
  <c r="G10" i="12"/>
  <c r="H10" i="12"/>
  <c r="I10" i="12"/>
  <c r="J10" i="12"/>
  <c r="K10" i="12"/>
  <c r="L10" i="12"/>
  <c r="M10" i="12"/>
  <c r="C10" i="12"/>
  <c r="D10" i="11"/>
  <c r="E10" i="11"/>
  <c r="F10" i="11"/>
  <c r="G10" i="11"/>
  <c r="H10" i="11"/>
  <c r="I10" i="11"/>
  <c r="J10" i="11"/>
  <c r="K10" i="11"/>
  <c r="L10" i="11"/>
  <c r="M10" i="11"/>
  <c r="C10" i="11"/>
  <c r="D10" i="10"/>
  <c r="E10" i="10"/>
  <c r="F10" i="10"/>
  <c r="G10" i="10"/>
  <c r="H10" i="10"/>
  <c r="I10" i="10"/>
  <c r="J10" i="10"/>
  <c r="K10" i="10"/>
  <c r="L10" i="10"/>
  <c r="C10" i="10"/>
  <c r="D10" i="9"/>
  <c r="E10" i="9"/>
  <c r="F10" i="9"/>
  <c r="G10" i="9"/>
  <c r="H10" i="9"/>
  <c r="I10" i="9"/>
  <c r="J10" i="9"/>
  <c r="K10" i="9"/>
  <c r="L10" i="9"/>
  <c r="C10" i="9"/>
  <c r="D10" i="8"/>
  <c r="E10" i="8"/>
  <c r="H10" i="8"/>
  <c r="I10" i="8"/>
  <c r="J10" i="8"/>
  <c r="K10" i="8"/>
  <c r="L10" i="8"/>
  <c r="C10" i="8"/>
  <c r="D10" i="7"/>
  <c r="E10" i="7"/>
  <c r="F10" i="7"/>
  <c r="G10" i="7"/>
  <c r="H10" i="7"/>
  <c r="I10" i="7"/>
  <c r="J10" i="7"/>
  <c r="K10" i="7"/>
  <c r="L10" i="7"/>
  <c r="M10" i="7"/>
  <c r="C10" i="7"/>
  <c r="D10" i="6"/>
  <c r="E10" i="6"/>
  <c r="F10" i="6"/>
  <c r="G10" i="6"/>
  <c r="H10" i="6"/>
  <c r="I10" i="6"/>
  <c r="J10" i="6"/>
  <c r="K10" i="6"/>
  <c r="L10" i="6"/>
  <c r="M10" i="6"/>
  <c r="C10" i="6"/>
  <c r="D10" i="5"/>
  <c r="E10" i="5"/>
  <c r="F10" i="5"/>
  <c r="G10" i="5"/>
  <c r="H10" i="5"/>
  <c r="I10" i="5"/>
  <c r="J10" i="5"/>
  <c r="K10" i="5"/>
  <c r="L10" i="5"/>
  <c r="M10" i="5"/>
  <c r="C10" i="5"/>
  <c r="D10" i="4"/>
  <c r="E10" i="4"/>
  <c r="F10" i="4"/>
  <c r="G10" i="4"/>
  <c r="H10" i="4"/>
  <c r="I10" i="4"/>
  <c r="J10" i="4"/>
  <c r="K10" i="4"/>
  <c r="L10" i="4"/>
  <c r="M10" i="4"/>
  <c r="C10" i="4"/>
  <c r="D10" i="2"/>
  <c r="E10" i="2"/>
  <c r="F10" i="2"/>
  <c r="G10" i="2"/>
  <c r="H10" i="2"/>
  <c r="I10" i="2"/>
  <c r="J10" i="2"/>
  <c r="K10" i="2"/>
  <c r="L10" i="2"/>
  <c r="M10" i="2"/>
  <c r="C10" i="2"/>
  <c r="D10" i="15"/>
  <c r="E10" i="15"/>
  <c r="F10" i="15"/>
  <c r="G10" i="15"/>
  <c r="H10" i="15"/>
  <c r="I10" i="15"/>
  <c r="J10" i="15"/>
  <c r="K10" i="15"/>
  <c r="C10" i="15"/>
  <c r="C8" i="15"/>
  <c r="D8" i="15"/>
  <c r="E8" i="15"/>
  <c r="F8" i="15"/>
  <c r="G8" i="15"/>
  <c r="H8" i="15"/>
  <c r="I8" i="15"/>
  <c r="J8" i="15"/>
  <c r="K8" i="15"/>
  <c r="C9" i="15"/>
  <c r="D9" i="15"/>
  <c r="E9" i="15"/>
  <c r="F9" i="15"/>
  <c r="G9" i="15"/>
  <c r="H9" i="15"/>
  <c r="I9" i="15"/>
  <c r="J9" i="15"/>
  <c r="K9" i="15"/>
  <c r="D7" i="15"/>
  <c r="E7" i="15"/>
  <c r="F7" i="15"/>
  <c r="G7" i="15"/>
  <c r="H7" i="15"/>
  <c r="I7" i="15"/>
  <c r="J7" i="15"/>
  <c r="K7" i="15"/>
  <c r="L8" i="15" l="1"/>
  <c r="L10" i="15" s="1"/>
  <c r="M10" i="15" s="1"/>
  <c r="H122" i="15"/>
  <c r="F122" i="15"/>
  <c r="E122" i="15"/>
  <c r="C122" i="15"/>
  <c r="F122" i="14"/>
  <c r="E122" i="14"/>
  <c r="C122" i="14"/>
  <c r="H122" i="14"/>
  <c r="K34" i="14"/>
  <c r="G34" i="14" l="1"/>
  <c r="E34" i="14" l="1"/>
  <c r="D34" i="14" l="1"/>
  <c r="F34" i="14" l="1"/>
  <c r="H34" i="14"/>
  <c r="C34" i="14" l="1"/>
  <c r="L38" i="14" l="1"/>
  <c r="C90" i="14"/>
  <c r="C85" i="14"/>
  <c r="C83" i="14"/>
  <c r="C82" i="14"/>
  <c r="G79" i="14"/>
  <c r="G80" i="14"/>
  <c r="G8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K34" i="13" l="1"/>
  <c r="I34" i="13" l="1"/>
  <c r="J34" i="13" l="1"/>
  <c r="G34" i="13" l="1"/>
  <c r="D34" i="13" l="1"/>
  <c r="E34" i="13" l="1"/>
  <c r="H34" i="13" l="1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F34" i="13"/>
  <c r="C35" i="13"/>
  <c r="C34" i="13"/>
  <c r="F122" i="13" l="1"/>
  <c r="E122" i="13"/>
  <c r="C122" i="13"/>
  <c r="H122" i="13"/>
  <c r="C90" i="13" l="1"/>
  <c r="C83" i="13"/>
  <c r="C82" i="13"/>
  <c r="M9" i="13" l="1"/>
  <c r="G79" i="13"/>
  <c r="G82" i="13"/>
  <c r="F122" i="12" l="1"/>
  <c r="E122" i="12"/>
  <c r="C122" i="12"/>
  <c r="H122" i="12"/>
  <c r="C34" i="12" l="1"/>
  <c r="J34" i="12" l="1"/>
  <c r="H34" i="12"/>
  <c r="M110" i="12"/>
  <c r="M109" i="12"/>
  <c r="M108" i="12"/>
  <c r="G45" i="12" l="1"/>
  <c r="G34" i="12"/>
  <c r="E34" i="12" l="1"/>
  <c r="D34" i="12" l="1"/>
  <c r="D40" i="12" l="1"/>
  <c r="E40" i="12"/>
  <c r="F40" i="12"/>
  <c r="G40" i="12"/>
  <c r="H40" i="12"/>
  <c r="I40" i="12"/>
  <c r="J40" i="12"/>
  <c r="K40" i="12"/>
  <c r="C40" i="12"/>
  <c r="F34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K34" i="12"/>
  <c r="C83" i="12" l="1"/>
  <c r="M12" i="12"/>
  <c r="L51" i="11" l="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E115" i="14"/>
  <c r="D115" i="14"/>
  <c r="E94" i="14"/>
  <c r="E93" i="14"/>
  <c r="E115" i="13"/>
  <c r="D115" i="13"/>
  <c r="E94" i="13"/>
  <c r="E93" i="13"/>
  <c r="E115" i="12"/>
  <c r="D115" i="12"/>
  <c r="E94" i="12"/>
  <c r="E93" i="12"/>
  <c r="E115" i="11"/>
  <c r="D115" i="11"/>
  <c r="E94" i="11"/>
  <c r="E93" i="11"/>
  <c r="D40" i="11" l="1"/>
  <c r="E40" i="11"/>
  <c r="F40" i="11"/>
  <c r="G40" i="11"/>
  <c r="H40" i="11"/>
  <c r="I40" i="11"/>
  <c r="J40" i="11"/>
  <c r="K40" i="11"/>
  <c r="C40" i="11"/>
  <c r="G34" i="11"/>
  <c r="K34" i="11" l="1"/>
  <c r="F122" i="11" l="1"/>
  <c r="E122" i="11"/>
  <c r="E122" i="10"/>
  <c r="C122" i="11"/>
  <c r="H122" i="11"/>
  <c r="M110" i="11"/>
  <c r="M109" i="11"/>
  <c r="M108" i="11"/>
  <c r="C34" i="11"/>
  <c r="J34" i="11" l="1"/>
  <c r="F34" i="11"/>
  <c r="E34" i="11"/>
  <c r="H34" i="11" l="1"/>
  <c r="G79" i="11" l="1"/>
  <c r="G80" i="11"/>
  <c r="G81" i="11"/>
  <c r="G82" i="11"/>
  <c r="C90" i="11"/>
  <c r="C83" i="11"/>
  <c r="C82" i="11"/>
  <c r="L33" i="2" l="1"/>
  <c r="L33" i="4"/>
  <c r="L33" i="5"/>
  <c r="L33" i="6"/>
  <c r="A126" i="6" s="1"/>
  <c r="B126" i="6"/>
  <c r="A127" i="6"/>
  <c r="B127" i="6"/>
  <c r="A128" i="6"/>
  <c r="B128" i="6"/>
  <c r="L33" i="7"/>
  <c r="L33" i="8"/>
  <c r="L33" i="9"/>
  <c r="K34" i="10"/>
  <c r="G34" i="10" l="1"/>
  <c r="D40" i="10" l="1"/>
  <c r="E40" i="10"/>
  <c r="F40" i="10"/>
  <c r="G40" i="10"/>
  <c r="H40" i="10"/>
  <c r="I40" i="10"/>
  <c r="J40" i="10"/>
  <c r="K40" i="10"/>
  <c r="C40" i="10"/>
  <c r="H34" i="10"/>
  <c r="F34" i="10"/>
  <c r="E115" i="10" l="1"/>
  <c r="D115" i="10"/>
  <c r="E94" i="10"/>
  <c r="E93" i="10"/>
  <c r="M9" i="10" l="1"/>
  <c r="L54" i="10" l="1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F122" i="10"/>
  <c r="C122" i="10"/>
  <c r="H122" i="10"/>
  <c r="E115" i="9" l="1"/>
  <c r="D115" i="9"/>
  <c r="E94" i="9"/>
  <c r="E93" i="9"/>
  <c r="M27" i="14"/>
  <c r="M27" i="13"/>
  <c r="M27" i="12"/>
  <c r="M27" i="11"/>
  <c r="M27" i="10"/>
  <c r="M27" i="9"/>
  <c r="J34" i="9"/>
  <c r="F122" i="9" l="1"/>
  <c r="E122" i="9"/>
  <c r="C122" i="9"/>
  <c r="J122" i="9"/>
  <c r="H122" i="9"/>
  <c r="L56" i="9" l="1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G34" i="8" l="1"/>
  <c r="H34" i="8" l="1"/>
  <c r="E96" i="15" l="1"/>
  <c r="E97" i="15"/>
  <c r="E98" i="15"/>
  <c r="E99" i="15"/>
  <c r="E100" i="15"/>
  <c r="E103" i="15"/>
  <c r="E104" i="15"/>
  <c r="E105" i="15"/>
  <c r="E106" i="15"/>
  <c r="E107" i="15"/>
  <c r="E109" i="15"/>
  <c r="E110" i="15"/>
  <c r="E111" i="15"/>
  <c r="E112" i="15"/>
  <c r="E113" i="15"/>
  <c r="E114" i="15"/>
  <c r="E95" i="15"/>
  <c r="D96" i="15"/>
  <c r="D97" i="15"/>
  <c r="D98" i="15"/>
  <c r="D99" i="15"/>
  <c r="D100" i="15"/>
  <c r="D103" i="15"/>
  <c r="D104" i="15"/>
  <c r="D105" i="15"/>
  <c r="D106" i="15"/>
  <c r="D107" i="15"/>
  <c r="D109" i="15"/>
  <c r="D110" i="15"/>
  <c r="D111" i="15"/>
  <c r="D112" i="15"/>
  <c r="D113" i="15"/>
  <c r="D114" i="15"/>
  <c r="D95" i="15"/>
  <c r="E115" i="8"/>
  <c r="E94" i="8"/>
  <c r="E93" i="8"/>
  <c r="D115" i="8"/>
  <c r="E115" i="15" l="1"/>
  <c r="D115" i="15"/>
  <c r="D40" i="8"/>
  <c r="E40" i="8"/>
  <c r="F40" i="8"/>
  <c r="G40" i="8"/>
  <c r="H40" i="8"/>
  <c r="I40" i="8"/>
  <c r="J40" i="8"/>
  <c r="K40" i="8"/>
  <c r="C40" i="8"/>
  <c r="C34" i="8"/>
  <c r="F34" i="8" l="1"/>
  <c r="E34" i="8" l="1"/>
  <c r="F122" i="8" l="1"/>
  <c r="E122" i="8"/>
  <c r="C122" i="8"/>
  <c r="J122" i="8"/>
  <c r="H122" i="8"/>
  <c r="L70" i="8" l="1"/>
  <c r="L67" i="8"/>
  <c r="L65" i="8"/>
  <c r="M9" i="8" l="1"/>
  <c r="I34" i="7" l="1"/>
  <c r="J34" i="7"/>
  <c r="M110" i="7" l="1"/>
  <c r="M109" i="7"/>
  <c r="M108" i="7"/>
  <c r="E115" i="7" l="1"/>
  <c r="D115" i="7"/>
  <c r="E94" i="7"/>
  <c r="E93" i="7"/>
  <c r="D34" i="7"/>
  <c r="F34" i="7"/>
  <c r="E34" i="7" l="1"/>
  <c r="C34" i="7" l="1"/>
  <c r="L50" i="7" l="1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G34" i="7"/>
  <c r="F122" i="7" l="1"/>
  <c r="E122" i="7"/>
  <c r="C122" i="7"/>
  <c r="C122" i="6"/>
  <c r="J122" i="7"/>
  <c r="L122" i="7"/>
  <c r="H122" i="7"/>
  <c r="M27" i="7"/>
  <c r="M9" i="7"/>
  <c r="M27" i="8" l="1"/>
  <c r="D40" i="6" l="1"/>
  <c r="E40" i="6"/>
  <c r="F40" i="6"/>
  <c r="G40" i="6"/>
  <c r="H40" i="6"/>
  <c r="I40" i="6"/>
  <c r="J40" i="6"/>
  <c r="K40" i="6"/>
  <c r="C40" i="6"/>
  <c r="E34" i="6"/>
  <c r="F34" i="6" l="1"/>
  <c r="H34" i="6"/>
  <c r="G34" i="6"/>
  <c r="D34" i="6" l="1"/>
  <c r="K34" i="6" l="1"/>
  <c r="C34" i="6"/>
  <c r="J35" i="6" l="1"/>
  <c r="F122" i="6" l="1"/>
  <c r="E122" i="6"/>
  <c r="K122" i="6"/>
  <c r="L122" i="6"/>
  <c r="H122" i="6"/>
  <c r="I122" i="6"/>
  <c r="G79" i="6" l="1"/>
  <c r="G80" i="6"/>
  <c r="G82" i="6"/>
  <c r="C83" i="6"/>
  <c r="C82" i="6"/>
  <c r="C90" i="6"/>
  <c r="E115" i="2"/>
  <c r="D115" i="2"/>
  <c r="E115" i="6"/>
  <c r="D115" i="6"/>
  <c r="E94" i="6"/>
  <c r="E93" i="6"/>
  <c r="E115" i="5"/>
  <c r="D115" i="5"/>
  <c r="E94" i="5"/>
  <c r="E93" i="5"/>
  <c r="E115" i="4"/>
  <c r="D115" i="4"/>
  <c r="E93" i="4"/>
  <c r="E94" i="4"/>
  <c r="K132" i="6" l="1"/>
  <c r="J133" i="6"/>
  <c r="J132" i="6"/>
  <c r="I132" i="6"/>
  <c r="H132" i="6"/>
  <c r="G132" i="6"/>
  <c r="F134" i="6"/>
  <c r="F133" i="6"/>
  <c r="F132" i="6"/>
  <c r="E134" i="6"/>
  <c r="E132" i="6"/>
  <c r="D134" i="6"/>
  <c r="D132" i="6"/>
  <c r="C132" i="6"/>
  <c r="J34" i="6"/>
  <c r="L64" i="6"/>
  <c r="L65" i="6"/>
  <c r="L66" i="6"/>
  <c r="L67" i="6"/>
  <c r="L68" i="6"/>
  <c r="L69" i="6"/>
  <c r="L70" i="6"/>
  <c r="L71" i="6"/>
  <c r="L72" i="6"/>
  <c r="L73" i="6"/>
  <c r="L74" i="6"/>
  <c r="M27" i="2"/>
  <c r="M27" i="4"/>
  <c r="M27" i="6"/>
  <c r="F122" i="5" l="1"/>
  <c r="E122" i="5"/>
  <c r="C122" i="5"/>
  <c r="H122" i="5"/>
  <c r="M122" i="5" s="1"/>
  <c r="I132" i="5"/>
  <c r="K110" i="15"/>
  <c r="K114" i="15"/>
  <c r="M109" i="2"/>
  <c r="M110" i="2"/>
  <c r="M108" i="2"/>
  <c r="M109" i="5"/>
  <c r="M108" i="5"/>
  <c r="E34" i="5" l="1"/>
  <c r="F34" i="5" l="1"/>
  <c r="C34" i="5" l="1"/>
  <c r="L56" i="5" l="1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J34" i="5"/>
  <c r="C83" i="5"/>
  <c r="M27" i="5"/>
  <c r="D40" i="4" l="1"/>
  <c r="E40" i="4"/>
  <c r="F40" i="4"/>
  <c r="G40" i="4"/>
  <c r="H40" i="4"/>
  <c r="I40" i="4"/>
  <c r="J40" i="4"/>
  <c r="K40" i="4"/>
  <c r="C40" i="4"/>
  <c r="I34" i="4"/>
  <c r="D134" i="15" l="1"/>
  <c r="E134" i="15"/>
  <c r="F134" i="15"/>
  <c r="G134" i="15"/>
  <c r="H134" i="15"/>
  <c r="J134" i="15"/>
  <c r="K134" i="15"/>
  <c r="F133" i="15"/>
  <c r="J133" i="15"/>
  <c r="D132" i="15"/>
  <c r="E132" i="15"/>
  <c r="F132" i="15"/>
  <c r="G132" i="15"/>
  <c r="H132" i="15"/>
  <c r="J132" i="15"/>
  <c r="K132" i="15"/>
  <c r="C134" i="15"/>
  <c r="C132" i="15"/>
  <c r="M127" i="15"/>
  <c r="M126" i="15"/>
  <c r="H127" i="15"/>
  <c r="H126" i="15"/>
  <c r="C127" i="15"/>
  <c r="C128" i="15"/>
  <c r="C126" i="15"/>
  <c r="D42" i="15"/>
  <c r="E42" i="15"/>
  <c r="F42" i="15"/>
  <c r="G42" i="15"/>
  <c r="H42" i="15"/>
  <c r="I42" i="15"/>
  <c r="J42" i="15"/>
  <c r="K42" i="15"/>
  <c r="C42" i="15"/>
  <c r="L19" i="15"/>
  <c r="C7" i="15"/>
  <c r="M7" i="15" s="1"/>
  <c r="L63" i="2"/>
  <c r="L64" i="2"/>
  <c r="L65" i="2"/>
  <c r="L66" i="2"/>
  <c r="L67" i="2"/>
  <c r="L68" i="2"/>
  <c r="L69" i="2"/>
  <c r="L70" i="2"/>
  <c r="L71" i="2"/>
  <c r="L72" i="2"/>
  <c r="G34" i="4"/>
  <c r="I34" i="2"/>
  <c r="M9" i="15" l="1"/>
  <c r="M8" i="15"/>
  <c r="L42" i="15"/>
  <c r="K113" i="15"/>
  <c r="L109" i="15"/>
  <c r="M109" i="15"/>
  <c r="K109" i="15"/>
  <c r="L108" i="15"/>
  <c r="M108" i="15"/>
  <c r="K108" i="15"/>
  <c r="K104" i="15"/>
  <c r="K103" i="15"/>
  <c r="M97" i="15"/>
  <c r="M98" i="15"/>
  <c r="L97" i="15"/>
  <c r="L98" i="15"/>
  <c r="K97" i="15"/>
  <c r="K98" i="15"/>
  <c r="L96" i="15"/>
  <c r="M96" i="15"/>
  <c r="K96" i="15"/>
  <c r="L80" i="15"/>
  <c r="L81" i="15"/>
  <c r="L82" i="15"/>
  <c r="L83" i="15"/>
  <c r="L79" i="15"/>
  <c r="H88" i="15"/>
  <c r="H89" i="15"/>
  <c r="H87" i="15"/>
  <c r="G83" i="15"/>
  <c r="C80" i="15"/>
  <c r="C81" i="15"/>
  <c r="C82" i="15"/>
  <c r="C84" i="15"/>
  <c r="C85" i="15"/>
  <c r="C86" i="15"/>
  <c r="C87" i="15"/>
  <c r="C88" i="15"/>
  <c r="C89" i="15"/>
  <c r="C7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C50" i="15"/>
  <c r="C51" i="15"/>
  <c r="C52" i="15"/>
  <c r="C53" i="15"/>
  <c r="C54" i="15"/>
  <c r="C55" i="15"/>
  <c r="L55" i="15" s="1"/>
  <c r="C56" i="15"/>
  <c r="C57" i="15"/>
  <c r="C58" i="15"/>
  <c r="C59" i="15"/>
  <c r="C60" i="15"/>
  <c r="L60" i="15" s="1"/>
  <c r="C61" i="15"/>
  <c r="C62" i="15"/>
  <c r="L62" i="15" s="1"/>
  <c r="C63" i="15"/>
  <c r="L63" i="15" s="1"/>
  <c r="C64" i="15"/>
  <c r="L64" i="15" s="1"/>
  <c r="C65" i="15"/>
  <c r="C66" i="15"/>
  <c r="C67" i="15"/>
  <c r="C68" i="15"/>
  <c r="L68" i="15" s="1"/>
  <c r="C69" i="15"/>
  <c r="C70" i="15"/>
  <c r="L70" i="15" s="1"/>
  <c r="C71" i="15"/>
  <c r="C72" i="15"/>
  <c r="C73" i="15"/>
  <c r="L73" i="15" s="1"/>
  <c r="C74" i="15"/>
  <c r="L74" i="15" s="1"/>
  <c r="C75" i="15"/>
  <c r="D49" i="15"/>
  <c r="E49" i="15"/>
  <c r="F49" i="15"/>
  <c r="G49" i="15"/>
  <c r="H49" i="15"/>
  <c r="I49" i="15"/>
  <c r="J49" i="15"/>
  <c r="K49" i="15"/>
  <c r="C49" i="15"/>
  <c r="D45" i="15"/>
  <c r="E45" i="15"/>
  <c r="F45" i="15"/>
  <c r="G45" i="15"/>
  <c r="H45" i="15"/>
  <c r="I45" i="15"/>
  <c r="K45" i="15"/>
  <c r="C45" i="15"/>
  <c r="D44" i="15"/>
  <c r="E44" i="15"/>
  <c r="F44" i="15"/>
  <c r="G44" i="15"/>
  <c r="H44" i="15"/>
  <c r="I44" i="15"/>
  <c r="J44" i="15"/>
  <c r="K44" i="15"/>
  <c r="C44" i="15"/>
  <c r="D39" i="15"/>
  <c r="E39" i="15"/>
  <c r="F39" i="15"/>
  <c r="G39" i="15"/>
  <c r="H39" i="15"/>
  <c r="I39" i="15"/>
  <c r="J39" i="15"/>
  <c r="K39" i="15"/>
  <c r="C39" i="15"/>
  <c r="D38" i="15"/>
  <c r="E38" i="15"/>
  <c r="F38" i="15"/>
  <c r="G38" i="15"/>
  <c r="H38" i="15"/>
  <c r="I38" i="15"/>
  <c r="J38" i="15"/>
  <c r="K38" i="15"/>
  <c r="C38" i="15"/>
  <c r="I34" i="15"/>
  <c r="D33" i="15"/>
  <c r="E33" i="15"/>
  <c r="F33" i="15"/>
  <c r="G33" i="15"/>
  <c r="H33" i="15"/>
  <c r="I33" i="15"/>
  <c r="J33" i="15"/>
  <c r="K33" i="15"/>
  <c r="D32" i="15"/>
  <c r="E32" i="15"/>
  <c r="F32" i="15"/>
  <c r="G32" i="15"/>
  <c r="H32" i="15"/>
  <c r="I32" i="15"/>
  <c r="J32" i="15"/>
  <c r="K32" i="15"/>
  <c r="D31" i="15"/>
  <c r="E31" i="15"/>
  <c r="F31" i="15"/>
  <c r="G31" i="15"/>
  <c r="H31" i="15"/>
  <c r="I31" i="15"/>
  <c r="J31" i="15"/>
  <c r="K31" i="15"/>
  <c r="C32" i="15"/>
  <c r="C33" i="15"/>
  <c r="C31" i="15"/>
  <c r="D27" i="15"/>
  <c r="E27" i="15"/>
  <c r="F27" i="15"/>
  <c r="G27" i="15"/>
  <c r="H27" i="15"/>
  <c r="I27" i="15"/>
  <c r="J27" i="15"/>
  <c r="K27" i="15"/>
  <c r="C27" i="15"/>
  <c r="F122" i="4"/>
  <c r="E122" i="4"/>
  <c r="C122" i="4"/>
  <c r="J122" i="4"/>
  <c r="H122" i="4"/>
  <c r="I122" i="4"/>
  <c r="J45" i="4"/>
  <c r="J45" i="15" s="1"/>
  <c r="J34" i="4"/>
  <c r="H34" i="4"/>
  <c r="D34" i="4"/>
  <c r="D34" i="15" s="1"/>
  <c r="L57" i="15" l="1"/>
  <c r="L33" i="15"/>
  <c r="L65" i="15"/>
  <c r="L72" i="15"/>
  <c r="L58" i="15"/>
  <c r="L56" i="15"/>
  <c r="L61" i="15"/>
  <c r="L53" i="15"/>
  <c r="L52" i="15"/>
  <c r="L51" i="15"/>
  <c r="L50" i="15"/>
  <c r="L67" i="15"/>
  <c r="L54" i="15"/>
  <c r="L75" i="15"/>
  <c r="L71" i="15"/>
  <c r="L69" i="15"/>
  <c r="L59" i="15"/>
  <c r="L66" i="15"/>
  <c r="E34" i="4"/>
  <c r="C34" i="4" l="1"/>
  <c r="F34" i="4"/>
  <c r="L50" i="4" l="1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M9" i="5" l="1"/>
  <c r="K135" i="15" l="1"/>
  <c r="J135" i="15"/>
  <c r="H135" i="15"/>
  <c r="G135" i="15"/>
  <c r="F135" i="15"/>
  <c r="E135" i="15"/>
  <c r="D135" i="15"/>
  <c r="C135" i="15"/>
  <c r="L134" i="15"/>
  <c r="L133" i="15"/>
  <c r="M122" i="15"/>
  <c r="K76" i="15"/>
  <c r="J76" i="15"/>
  <c r="I76" i="15"/>
  <c r="H76" i="15"/>
  <c r="G76" i="15"/>
  <c r="F76" i="15"/>
  <c r="E76" i="15"/>
  <c r="D76" i="15"/>
  <c r="C76" i="15"/>
  <c r="L49" i="15"/>
  <c r="L45" i="15"/>
  <c r="L44" i="15"/>
  <c r="L39" i="15"/>
  <c r="L38" i="15"/>
  <c r="L32" i="15"/>
  <c r="L31" i="15"/>
  <c r="K24" i="15"/>
  <c r="J24" i="15"/>
  <c r="I24" i="15"/>
  <c r="H24" i="15"/>
  <c r="G24" i="15"/>
  <c r="F24" i="15"/>
  <c r="E24" i="15"/>
  <c r="D24" i="15"/>
  <c r="C24" i="15"/>
  <c r="L23" i="15"/>
  <c r="L22" i="15"/>
  <c r="L21" i="15"/>
  <c r="L20" i="15"/>
  <c r="M12" i="15"/>
  <c r="K135" i="14"/>
  <c r="J135" i="14"/>
  <c r="I135" i="14"/>
  <c r="L137" i="14" s="1"/>
  <c r="H135" i="14"/>
  <c r="G135" i="14"/>
  <c r="F135" i="14"/>
  <c r="E135" i="14"/>
  <c r="D135" i="14"/>
  <c r="C135" i="14"/>
  <c r="L134" i="14"/>
  <c r="L133" i="14"/>
  <c r="L132" i="14"/>
  <c r="M122" i="14"/>
  <c r="K76" i="14"/>
  <c r="K35" i="14" s="1"/>
  <c r="J76" i="14"/>
  <c r="J35" i="14" s="1"/>
  <c r="I76" i="14"/>
  <c r="I35" i="14" s="1"/>
  <c r="H76" i="14"/>
  <c r="H35" i="14" s="1"/>
  <c r="G76" i="14"/>
  <c r="G35" i="14" s="1"/>
  <c r="F76" i="14"/>
  <c r="F35" i="14" s="1"/>
  <c r="E76" i="14"/>
  <c r="E35" i="14" s="1"/>
  <c r="D76" i="14"/>
  <c r="D35" i="14" s="1"/>
  <c r="C76" i="14"/>
  <c r="C35" i="14" s="1"/>
  <c r="L75" i="14"/>
  <c r="L52" i="14"/>
  <c r="L51" i="14"/>
  <c r="L50" i="14"/>
  <c r="L49" i="14"/>
  <c r="L45" i="14"/>
  <c r="L44" i="14"/>
  <c r="L42" i="14"/>
  <c r="L39" i="14"/>
  <c r="K36" i="14"/>
  <c r="J36" i="14"/>
  <c r="I36" i="14"/>
  <c r="H36" i="14"/>
  <c r="G36" i="14"/>
  <c r="F36" i="14"/>
  <c r="E36" i="14"/>
  <c r="D36" i="14"/>
  <c r="C36" i="14"/>
  <c r="L34" i="14"/>
  <c r="L32" i="14"/>
  <c r="L31" i="14"/>
  <c r="K24" i="14"/>
  <c r="J24" i="14"/>
  <c r="I24" i="14"/>
  <c r="H24" i="14"/>
  <c r="G24" i="14"/>
  <c r="F24" i="14"/>
  <c r="E24" i="14"/>
  <c r="D24" i="14"/>
  <c r="C24" i="14"/>
  <c r="L23" i="14"/>
  <c r="L22" i="14"/>
  <c r="L21" i="14"/>
  <c r="L20" i="14"/>
  <c r="L19" i="14"/>
  <c r="M12" i="14"/>
  <c r="M9" i="14"/>
  <c r="M8" i="14"/>
  <c r="M7" i="14"/>
  <c r="K135" i="13"/>
  <c r="J135" i="13"/>
  <c r="I135" i="13"/>
  <c r="L137" i="13" s="1"/>
  <c r="H135" i="13"/>
  <c r="G135" i="13"/>
  <c r="F135" i="13"/>
  <c r="E135" i="13"/>
  <c r="D135" i="13"/>
  <c r="C135" i="13"/>
  <c r="L134" i="13"/>
  <c r="L133" i="13"/>
  <c r="L132" i="13"/>
  <c r="M122" i="13"/>
  <c r="K76" i="13"/>
  <c r="K35" i="13" s="1"/>
  <c r="J76" i="13"/>
  <c r="J35" i="13" s="1"/>
  <c r="I76" i="13"/>
  <c r="I35" i="13" s="1"/>
  <c r="H76" i="13"/>
  <c r="H35" i="13" s="1"/>
  <c r="G76" i="13"/>
  <c r="G35" i="13" s="1"/>
  <c r="F76" i="13"/>
  <c r="F35" i="13" s="1"/>
  <c r="E76" i="13"/>
  <c r="E35" i="13" s="1"/>
  <c r="D76" i="13"/>
  <c r="D35" i="13" s="1"/>
  <c r="C76" i="13"/>
  <c r="L75" i="13"/>
  <c r="L53" i="13"/>
  <c r="L52" i="13"/>
  <c r="L51" i="13"/>
  <c r="L50" i="13"/>
  <c r="L49" i="13"/>
  <c r="L45" i="13"/>
  <c r="L44" i="13"/>
  <c r="L42" i="13"/>
  <c r="L39" i="13"/>
  <c r="L38" i="13"/>
  <c r="K36" i="13"/>
  <c r="J36" i="13"/>
  <c r="I36" i="13"/>
  <c r="H36" i="13"/>
  <c r="G36" i="13"/>
  <c r="F36" i="13"/>
  <c r="E36" i="13"/>
  <c r="D36" i="13"/>
  <c r="C36" i="13"/>
  <c r="L34" i="13"/>
  <c r="L32" i="13"/>
  <c r="L31" i="13"/>
  <c r="K24" i="13"/>
  <c r="J24" i="13"/>
  <c r="I24" i="13"/>
  <c r="H24" i="13"/>
  <c r="G24" i="13"/>
  <c r="F24" i="13"/>
  <c r="E24" i="13"/>
  <c r="D24" i="13"/>
  <c r="C24" i="13"/>
  <c r="L23" i="13"/>
  <c r="L22" i="13"/>
  <c r="L21" i="13"/>
  <c r="L20" i="13"/>
  <c r="L19" i="13"/>
  <c r="M12" i="13"/>
  <c r="M8" i="13"/>
  <c r="M7" i="13"/>
  <c r="K135" i="12"/>
  <c r="J135" i="12"/>
  <c r="I135" i="12"/>
  <c r="L137" i="12" s="1"/>
  <c r="H135" i="12"/>
  <c r="G135" i="12"/>
  <c r="F135" i="12"/>
  <c r="E135" i="12"/>
  <c r="D135" i="12"/>
  <c r="C135" i="12"/>
  <c r="L134" i="12"/>
  <c r="L133" i="12"/>
  <c r="L132" i="12"/>
  <c r="M122" i="12"/>
  <c r="K76" i="12"/>
  <c r="K35" i="12" s="1"/>
  <c r="J76" i="12"/>
  <c r="J35" i="12" s="1"/>
  <c r="I76" i="12"/>
  <c r="I35" i="12" s="1"/>
  <c r="H76" i="12"/>
  <c r="H35" i="12" s="1"/>
  <c r="G76" i="12"/>
  <c r="G35" i="12" s="1"/>
  <c r="F76" i="12"/>
  <c r="F35" i="12" s="1"/>
  <c r="E76" i="12"/>
  <c r="E35" i="12" s="1"/>
  <c r="D76" i="12"/>
  <c r="D35" i="12" s="1"/>
  <c r="C76" i="12"/>
  <c r="C35" i="12" s="1"/>
  <c r="L75" i="12"/>
  <c r="L74" i="12"/>
  <c r="L73" i="12"/>
  <c r="L57" i="12"/>
  <c r="L56" i="12"/>
  <c r="L55" i="12"/>
  <c r="L54" i="12"/>
  <c r="L53" i="12"/>
  <c r="L52" i="12"/>
  <c r="L51" i="12"/>
  <c r="L50" i="12"/>
  <c r="L49" i="12"/>
  <c r="L45" i="12"/>
  <c r="L44" i="12"/>
  <c r="L42" i="12"/>
  <c r="L39" i="12"/>
  <c r="L38" i="12"/>
  <c r="K36" i="12"/>
  <c r="J36" i="12"/>
  <c r="I36" i="12"/>
  <c r="H36" i="12"/>
  <c r="G36" i="12"/>
  <c r="F36" i="12"/>
  <c r="E36" i="12"/>
  <c r="D36" i="12"/>
  <c r="C36" i="12"/>
  <c r="L34" i="12"/>
  <c r="L32" i="12"/>
  <c r="L31" i="12"/>
  <c r="K24" i="12"/>
  <c r="J24" i="12"/>
  <c r="I24" i="12"/>
  <c r="H24" i="12"/>
  <c r="G24" i="12"/>
  <c r="F24" i="12"/>
  <c r="E24" i="12"/>
  <c r="D24" i="12"/>
  <c r="C24" i="12"/>
  <c r="L23" i="12"/>
  <c r="L22" i="12"/>
  <c r="L21" i="12"/>
  <c r="L20" i="12"/>
  <c r="L19" i="12"/>
  <c r="M9" i="12"/>
  <c r="M8" i="12"/>
  <c r="M7" i="12"/>
  <c r="K135" i="11"/>
  <c r="J135" i="11"/>
  <c r="I135" i="11"/>
  <c r="L137" i="11" s="1"/>
  <c r="H135" i="11"/>
  <c r="G135" i="11"/>
  <c r="F135" i="11"/>
  <c r="E135" i="11"/>
  <c r="D135" i="11"/>
  <c r="C135" i="11"/>
  <c r="L134" i="11"/>
  <c r="L133" i="11"/>
  <c r="L132" i="11"/>
  <c r="M122" i="11"/>
  <c r="K76" i="11"/>
  <c r="K35" i="11" s="1"/>
  <c r="J76" i="11"/>
  <c r="J35" i="11" s="1"/>
  <c r="I76" i="11"/>
  <c r="I35" i="11" s="1"/>
  <c r="H76" i="11"/>
  <c r="H35" i="11" s="1"/>
  <c r="G76" i="11"/>
  <c r="G35" i="11" s="1"/>
  <c r="F76" i="11"/>
  <c r="F35" i="11" s="1"/>
  <c r="E76" i="11"/>
  <c r="E35" i="11" s="1"/>
  <c r="D76" i="11"/>
  <c r="D35" i="11" s="1"/>
  <c r="C76" i="11"/>
  <c r="C35" i="11" s="1"/>
  <c r="L50" i="11"/>
  <c r="L49" i="11"/>
  <c r="L45" i="11"/>
  <c r="L44" i="11"/>
  <c r="L42" i="11"/>
  <c r="L39" i="11"/>
  <c r="L38" i="11"/>
  <c r="K36" i="11"/>
  <c r="J36" i="11"/>
  <c r="I36" i="11"/>
  <c r="H36" i="11"/>
  <c r="G36" i="11"/>
  <c r="F36" i="11"/>
  <c r="E36" i="11"/>
  <c r="D36" i="11"/>
  <c r="C36" i="11"/>
  <c r="L34" i="11"/>
  <c r="L32" i="11"/>
  <c r="L31" i="11"/>
  <c r="K24" i="11"/>
  <c r="J24" i="11"/>
  <c r="I24" i="11"/>
  <c r="H24" i="11"/>
  <c r="G24" i="11"/>
  <c r="F24" i="11"/>
  <c r="E24" i="11"/>
  <c r="D24" i="11"/>
  <c r="C24" i="11"/>
  <c r="L23" i="11"/>
  <c r="L22" i="11"/>
  <c r="L21" i="11"/>
  <c r="L20" i="11"/>
  <c r="L19" i="11"/>
  <c r="M12" i="11"/>
  <c r="M9" i="11"/>
  <c r="M8" i="11"/>
  <c r="M7" i="11"/>
  <c r="K135" i="10"/>
  <c r="J135" i="10"/>
  <c r="I135" i="10"/>
  <c r="L137" i="10" s="1"/>
  <c r="H135" i="10"/>
  <c r="G135" i="10"/>
  <c r="F135" i="10"/>
  <c r="E135" i="10"/>
  <c r="D135" i="10"/>
  <c r="C135" i="10"/>
  <c r="L134" i="10"/>
  <c r="L133" i="10"/>
  <c r="L132" i="10"/>
  <c r="M122" i="10"/>
  <c r="K76" i="10"/>
  <c r="K35" i="10" s="1"/>
  <c r="J76" i="10"/>
  <c r="J35" i="10" s="1"/>
  <c r="I76" i="10"/>
  <c r="I35" i="10" s="1"/>
  <c r="H76" i="10"/>
  <c r="H35" i="10" s="1"/>
  <c r="G76" i="10"/>
  <c r="G35" i="10" s="1"/>
  <c r="F76" i="10"/>
  <c r="F35" i="10" s="1"/>
  <c r="E76" i="10"/>
  <c r="E35" i="10" s="1"/>
  <c r="D76" i="10"/>
  <c r="D35" i="10" s="1"/>
  <c r="C76" i="10"/>
  <c r="C35" i="10" s="1"/>
  <c r="L75" i="10"/>
  <c r="L74" i="10"/>
  <c r="L73" i="10"/>
  <c r="L53" i="10"/>
  <c r="L52" i="10"/>
  <c r="L51" i="10"/>
  <c r="L50" i="10"/>
  <c r="L49" i="10"/>
  <c r="L45" i="10"/>
  <c r="L44" i="10"/>
  <c r="L42" i="10"/>
  <c r="L39" i="10"/>
  <c r="L38" i="10"/>
  <c r="K36" i="10"/>
  <c r="J36" i="10"/>
  <c r="I36" i="10"/>
  <c r="H36" i="10"/>
  <c r="G36" i="10"/>
  <c r="F36" i="10"/>
  <c r="E36" i="10"/>
  <c r="D36" i="10"/>
  <c r="C36" i="10"/>
  <c r="L34" i="10"/>
  <c r="L32" i="10"/>
  <c r="L31" i="10"/>
  <c r="K24" i="10"/>
  <c r="J24" i="10"/>
  <c r="I24" i="10"/>
  <c r="H24" i="10"/>
  <c r="G24" i="10"/>
  <c r="F24" i="10"/>
  <c r="E24" i="10"/>
  <c r="D24" i="10"/>
  <c r="C24" i="10"/>
  <c r="L23" i="10"/>
  <c r="L22" i="10"/>
  <c r="L21" i="10"/>
  <c r="L20" i="10"/>
  <c r="L19" i="10"/>
  <c r="M12" i="10"/>
  <c r="M8" i="10"/>
  <c r="M10" i="10" s="1"/>
  <c r="M7" i="10"/>
  <c r="K135" i="9"/>
  <c r="J135" i="9"/>
  <c r="I135" i="9"/>
  <c r="L137" i="9" s="1"/>
  <c r="H135" i="9"/>
  <c r="G135" i="9"/>
  <c r="F135" i="9"/>
  <c r="E135" i="9"/>
  <c r="D135" i="9"/>
  <c r="C135" i="9"/>
  <c r="L134" i="9"/>
  <c r="L133" i="9"/>
  <c r="L132" i="9"/>
  <c r="M122" i="9"/>
  <c r="K76" i="9"/>
  <c r="K35" i="9" s="1"/>
  <c r="J76" i="9"/>
  <c r="J35" i="9" s="1"/>
  <c r="I76" i="9"/>
  <c r="I35" i="9" s="1"/>
  <c r="H76" i="9"/>
  <c r="H35" i="9" s="1"/>
  <c r="G76" i="9"/>
  <c r="G35" i="9" s="1"/>
  <c r="F76" i="9"/>
  <c r="F35" i="9" s="1"/>
  <c r="E76" i="9"/>
  <c r="E35" i="9" s="1"/>
  <c r="D76" i="9"/>
  <c r="D35" i="9" s="1"/>
  <c r="C76" i="9"/>
  <c r="C35" i="9" s="1"/>
  <c r="L75" i="9"/>
  <c r="L74" i="9"/>
  <c r="L73" i="9"/>
  <c r="L55" i="9"/>
  <c r="L54" i="9"/>
  <c r="L53" i="9"/>
  <c r="L52" i="9"/>
  <c r="L51" i="9"/>
  <c r="L50" i="9"/>
  <c r="L49" i="9"/>
  <c r="L45" i="9"/>
  <c r="L44" i="9"/>
  <c r="L42" i="9"/>
  <c r="L39" i="9"/>
  <c r="L38" i="9"/>
  <c r="K36" i="9"/>
  <c r="J36" i="9"/>
  <c r="I36" i="9"/>
  <c r="H36" i="9"/>
  <c r="G36" i="9"/>
  <c r="F36" i="9"/>
  <c r="E36" i="9"/>
  <c r="D36" i="9"/>
  <c r="C36" i="9"/>
  <c r="L34" i="9"/>
  <c r="L32" i="9"/>
  <c r="L31" i="9"/>
  <c r="K24" i="9"/>
  <c r="J24" i="9"/>
  <c r="I24" i="9"/>
  <c r="H24" i="9"/>
  <c r="G24" i="9"/>
  <c r="F24" i="9"/>
  <c r="E24" i="9"/>
  <c r="D24" i="9"/>
  <c r="C24" i="9"/>
  <c r="L23" i="9"/>
  <c r="L22" i="9"/>
  <c r="L21" i="9"/>
  <c r="L20" i="9"/>
  <c r="L19" i="9"/>
  <c r="M12" i="9"/>
  <c r="M8" i="9"/>
  <c r="M7" i="9"/>
  <c r="K135" i="8"/>
  <c r="J135" i="8"/>
  <c r="I135" i="8"/>
  <c r="L137" i="8" s="1"/>
  <c r="H135" i="8"/>
  <c r="G135" i="8"/>
  <c r="F135" i="8"/>
  <c r="E135" i="8"/>
  <c r="D135" i="8"/>
  <c r="C135" i="8"/>
  <c r="L134" i="8"/>
  <c r="L133" i="8"/>
  <c r="L132" i="8"/>
  <c r="M122" i="8"/>
  <c r="K76" i="8"/>
  <c r="K35" i="8" s="1"/>
  <c r="J76" i="8"/>
  <c r="J35" i="8" s="1"/>
  <c r="I76" i="8"/>
  <c r="I35" i="8" s="1"/>
  <c r="H76" i="8"/>
  <c r="H35" i="8" s="1"/>
  <c r="G76" i="8"/>
  <c r="G35" i="8" s="1"/>
  <c r="F76" i="8"/>
  <c r="F35" i="8" s="1"/>
  <c r="E76" i="8"/>
  <c r="E35" i="8" s="1"/>
  <c r="D76" i="8"/>
  <c r="D35" i="8" s="1"/>
  <c r="C76" i="8"/>
  <c r="C35" i="8" s="1"/>
  <c r="L75" i="8"/>
  <c r="L74" i="8"/>
  <c r="L73" i="8"/>
  <c r="L72" i="8"/>
  <c r="L71" i="8"/>
  <c r="L69" i="8"/>
  <c r="L68" i="8"/>
  <c r="L66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5" i="8"/>
  <c r="L44" i="8"/>
  <c r="L42" i="8"/>
  <c r="L39" i="8"/>
  <c r="L38" i="8"/>
  <c r="K36" i="8"/>
  <c r="J36" i="8"/>
  <c r="I36" i="8"/>
  <c r="H36" i="8"/>
  <c r="G36" i="8"/>
  <c r="F36" i="8"/>
  <c r="E36" i="8"/>
  <c r="D36" i="8"/>
  <c r="C36" i="8"/>
  <c r="L34" i="8"/>
  <c r="L32" i="8"/>
  <c r="L31" i="8"/>
  <c r="K24" i="8"/>
  <c r="J24" i="8"/>
  <c r="I24" i="8"/>
  <c r="H24" i="8"/>
  <c r="G24" i="8"/>
  <c r="F24" i="8"/>
  <c r="E24" i="8"/>
  <c r="D24" i="8"/>
  <c r="C24" i="8"/>
  <c r="L23" i="8"/>
  <c r="L22" i="8"/>
  <c r="L21" i="8"/>
  <c r="L20" i="8"/>
  <c r="L19" i="8"/>
  <c r="M12" i="8"/>
  <c r="M7" i="8"/>
  <c r="K135" i="7"/>
  <c r="J135" i="7"/>
  <c r="I135" i="7"/>
  <c r="L137" i="7" s="1"/>
  <c r="H135" i="7"/>
  <c r="G135" i="7"/>
  <c r="F135" i="7"/>
  <c r="E135" i="7"/>
  <c r="D135" i="7"/>
  <c r="C135" i="7"/>
  <c r="L134" i="7"/>
  <c r="L133" i="7"/>
  <c r="L132" i="7"/>
  <c r="M122" i="7"/>
  <c r="K76" i="7"/>
  <c r="K35" i="7" s="1"/>
  <c r="J76" i="7"/>
  <c r="J35" i="7" s="1"/>
  <c r="I76" i="7"/>
  <c r="I35" i="7" s="1"/>
  <c r="H76" i="7"/>
  <c r="H35" i="7" s="1"/>
  <c r="G76" i="7"/>
  <c r="G35" i="7" s="1"/>
  <c r="F76" i="7"/>
  <c r="F35" i="7" s="1"/>
  <c r="E76" i="7"/>
  <c r="E35" i="7" s="1"/>
  <c r="D76" i="7"/>
  <c r="D35" i="7" s="1"/>
  <c r="C76" i="7"/>
  <c r="L75" i="7"/>
  <c r="L49" i="7"/>
  <c r="L45" i="7"/>
  <c r="L44" i="7"/>
  <c r="L42" i="7"/>
  <c r="L39" i="7"/>
  <c r="L38" i="7"/>
  <c r="K36" i="7"/>
  <c r="J36" i="7"/>
  <c r="I36" i="7"/>
  <c r="H36" i="7"/>
  <c r="G36" i="7"/>
  <c r="F36" i="7"/>
  <c r="E36" i="7"/>
  <c r="D36" i="7"/>
  <c r="L34" i="7"/>
  <c r="L32" i="7"/>
  <c r="L31" i="7"/>
  <c r="L27" i="15"/>
  <c r="M27" i="15" s="1"/>
  <c r="K24" i="7"/>
  <c r="J24" i="7"/>
  <c r="I24" i="7"/>
  <c r="H24" i="7"/>
  <c r="G24" i="7"/>
  <c r="F24" i="7"/>
  <c r="E24" i="7"/>
  <c r="D24" i="7"/>
  <c r="C24" i="7"/>
  <c r="L23" i="7"/>
  <c r="L22" i="7"/>
  <c r="L21" i="7"/>
  <c r="L20" i="7"/>
  <c r="L19" i="7"/>
  <c r="M12" i="7"/>
  <c r="M8" i="7"/>
  <c r="M7" i="7"/>
  <c r="K135" i="6"/>
  <c r="J135" i="6"/>
  <c r="I135" i="6"/>
  <c r="L137" i="6" s="1"/>
  <c r="H135" i="6"/>
  <c r="G135" i="6"/>
  <c r="F135" i="6"/>
  <c r="E135" i="6"/>
  <c r="D135" i="6"/>
  <c r="C135" i="6"/>
  <c r="L134" i="6"/>
  <c r="L133" i="6"/>
  <c r="L132" i="6"/>
  <c r="M122" i="6"/>
  <c r="K76" i="6"/>
  <c r="K35" i="6" s="1"/>
  <c r="J76" i="6"/>
  <c r="I76" i="6"/>
  <c r="I35" i="6" s="1"/>
  <c r="H76" i="6"/>
  <c r="H35" i="6" s="1"/>
  <c r="G76" i="6"/>
  <c r="G35" i="6" s="1"/>
  <c r="F76" i="6"/>
  <c r="F35" i="6" s="1"/>
  <c r="F36" i="6" s="1"/>
  <c r="E76" i="6"/>
  <c r="E35" i="6" s="1"/>
  <c r="E36" i="6" s="1"/>
  <c r="D76" i="6"/>
  <c r="D35" i="6" s="1"/>
  <c r="C76" i="6"/>
  <c r="C35" i="6" s="1"/>
  <c r="L75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5" i="6"/>
  <c r="L44" i="6"/>
  <c r="L42" i="6"/>
  <c r="L39" i="6"/>
  <c r="L38" i="6"/>
  <c r="K36" i="6"/>
  <c r="J36" i="6"/>
  <c r="I36" i="6"/>
  <c r="H36" i="6"/>
  <c r="G36" i="6"/>
  <c r="D36" i="6"/>
  <c r="C36" i="6"/>
  <c r="L34" i="6"/>
  <c r="L32" i="6"/>
  <c r="L31" i="6"/>
  <c r="K24" i="6"/>
  <c r="J24" i="6"/>
  <c r="I24" i="6"/>
  <c r="H24" i="6"/>
  <c r="G24" i="6"/>
  <c r="F24" i="6"/>
  <c r="E24" i="6"/>
  <c r="D24" i="6"/>
  <c r="C24" i="6"/>
  <c r="L23" i="6"/>
  <c r="L22" i="6"/>
  <c r="L21" i="6"/>
  <c r="L20" i="6"/>
  <c r="L19" i="6"/>
  <c r="M12" i="6"/>
  <c r="M9" i="6"/>
  <c r="M8" i="6"/>
  <c r="M7" i="6"/>
  <c r="K135" i="5"/>
  <c r="J135" i="5"/>
  <c r="I135" i="5"/>
  <c r="L137" i="5" s="1"/>
  <c r="H135" i="5"/>
  <c r="G135" i="5"/>
  <c r="F135" i="5"/>
  <c r="E135" i="5"/>
  <c r="D135" i="5"/>
  <c r="C135" i="5"/>
  <c r="L134" i="5"/>
  <c r="L133" i="5"/>
  <c r="L132" i="5"/>
  <c r="K76" i="5"/>
  <c r="K35" i="5" s="1"/>
  <c r="K36" i="5" s="1"/>
  <c r="J76" i="5"/>
  <c r="J35" i="5" s="1"/>
  <c r="I76" i="5"/>
  <c r="I35" i="5" s="1"/>
  <c r="H76" i="5"/>
  <c r="H35" i="5" s="1"/>
  <c r="H36" i="5" s="1"/>
  <c r="G76" i="5"/>
  <c r="G35" i="5" s="1"/>
  <c r="G36" i="5" s="1"/>
  <c r="F76" i="5"/>
  <c r="F35" i="5" s="1"/>
  <c r="F36" i="5" s="1"/>
  <c r="E76" i="5"/>
  <c r="E35" i="5" s="1"/>
  <c r="E36" i="5" s="1"/>
  <c r="D76" i="5"/>
  <c r="D35" i="5" s="1"/>
  <c r="C76" i="5"/>
  <c r="C35" i="5" s="1"/>
  <c r="L75" i="5"/>
  <c r="L74" i="5"/>
  <c r="L55" i="5"/>
  <c r="L54" i="5"/>
  <c r="L53" i="5"/>
  <c r="L52" i="5"/>
  <c r="L51" i="5"/>
  <c r="L50" i="5"/>
  <c r="L49" i="5"/>
  <c r="L45" i="5"/>
  <c r="L44" i="5"/>
  <c r="L42" i="5"/>
  <c r="L39" i="5"/>
  <c r="L38" i="5"/>
  <c r="J36" i="5"/>
  <c r="I36" i="5"/>
  <c r="D36" i="5"/>
  <c r="C36" i="5"/>
  <c r="L34" i="5"/>
  <c r="L32" i="5"/>
  <c r="L31" i="5"/>
  <c r="K24" i="5"/>
  <c r="J24" i="5"/>
  <c r="I24" i="5"/>
  <c r="H24" i="5"/>
  <c r="G24" i="5"/>
  <c r="F24" i="5"/>
  <c r="E24" i="5"/>
  <c r="D24" i="5"/>
  <c r="C24" i="5"/>
  <c r="L23" i="5"/>
  <c r="L22" i="5"/>
  <c r="L21" i="5"/>
  <c r="L20" i="5"/>
  <c r="L19" i="5"/>
  <c r="M12" i="5"/>
  <c r="M8" i="5"/>
  <c r="M7" i="5"/>
  <c r="L137" i="4"/>
  <c r="K135" i="4"/>
  <c r="J135" i="4"/>
  <c r="H135" i="4"/>
  <c r="G135" i="4"/>
  <c r="F135" i="4"/>
  <c r="E135" i="4"/>
  <c r="D135" i="4"/>
  <c r="C135" i="4"/>
  <c r="L134" i="4"/>
  <c r="L133" i="4"/>
  <c r="L132" i="4"/>
  <c r="I135" i="4"/>
  <c r="M122" i="4"/>
  <c r="K76" i="4"/>
  <c r="K35" i="4" s="1"/>
  <c r="J76" i="4"/>
  <c r="J35" i="4" s="1"/>
  <c r="I76" i="4"/>
  <c r="I35" i="4" s="1"/>
  <c r="H76" i="4"/>
  <c r="H35" i="4" s="1"/>
  <c r="G76" i="4"/>
  <c r="G35" i="4" s="1"/>
  <c r="F76" i="4"/>
  <c r="F35" i="4" s="1"/>
  <c r="E76" i="4"/>
  <c r="E35" i="4" s="1"/>
  <c r="D76" i="4"/>
  <c r="C76" i="4"/>
  <c r="C35" i="4" s="1"/>
  <c r="L49" i="4"/>
  <c r="L45" i="4"/>
  <c r="L44" i="4"/>
  <c r="L42" i="4"/>
  <c r="L39" i="4"/>
  <c r="L38" i="4"/>
  <c r="I36" i="4"/>
  <c r="E36" i="4"/>
  <c r="K36" i="4"/>
  <c r="J36" i="4"/>
  <c r="L34" i="4"/>
  <c r="L32" i="4"/>
  <c r="L31" i="4"/>
  <c r="K24" i="4"/>
  <c r="J24" i="4"/>
  <c r="I24" i="4"/>
  <c r="H24" i="4"/>
  <c r="G24" i="4"/>
  <c r="F24" i="4"/>
  <c r="E24" i="4"/>
  <c r="D24" i="4"/>
  <c r="C24" i="4"/>
  <c r="L23" i="4"/>
  <c r="L22" i="4"/>
  <c r="L21" i="4"/>
  <c r="L20" i="4"/>
  <c r="L19" i="4"/>
  <c r="M12" i="4"/>
  <c r="M8" i="4"/>
  <c r="M7" i="4"/>
  <c r="L24" i="15" l="1"/>
  <c r="L135" i="14"/>
  <c r="L35" i="14"/>
  <c r="L76" i="14"/>
  <c r="L36" i="14"/>
  <c r="L35" i="13"/>
  <c r="L35" i="12"/>
  <c r="L35" i="11"/>
  <c r="L135" i="11"/>
  <c r="L76" i="11"/>
  <c r="L36" i="11"/>
  <c r="L35" i="10"/>
  <c r="L76" i="10"/>
  <c r="L36" i="10"/>
  <c r="L135" i="10"/>
  <c r="L35" i="9"/>
  <c r="L135" i="9"/>
  <c r="L76" i="9"/>
  <c r="L36" i="9"/>
  <c r="L35" i="8"/>
  <c r="L135" i="8"/>
  <c r="L36" i="8"/>
  <c r="L76" i="8"/>
  <c r="L76" i="7"/>
  <c r="C35" i="7"/>
  <c r="L135" i="7"/>
  <c r="L35" i="6"/>
  <c r="L36" i="6"/>
  <c r="L76" i="6"/>
  <c r="L24" i="14"/>
  <c r="L76" i="13"/>
  <c r="L135" i="13"/>
  <c r="L24" i="13"/>
  <c r="L36" i="13"/>
  <c r="L36" i="12"/>
  <c r="L76" i="12"/>
  <c r="L135" i="12"/>
  <c r="L24" i="12"/>
  <c r="L40" i="12"/>
  <c r="L24" i="11"/>
  <c r="L40" i="11"/>
  <c r="L24" i="10"/>
  <c r="L40" i="10"/>
  <c r="L24" i="9"/>
  <c r="L40" i="9"/>
  <c r="L24" i="8"/>
  <c r="L40" i="8"/>
  <c r="L24" i="7"/>
  <c r="L40" i="7"/>
  <c r="L135" i="6"/>
  <c r="L24" i="6"/>
  <c r="L40" i="6"/>
  <c r="L135" i="5"/>
  <c r="L35" i="5"/>
  <c r="L76" i="5"/>
  <c r="L36" i="5"/>
  <c r="L40" i="5"/>
  <c r="L24" i="5"/>
  <c r="G36" i="4"/>
  <c r="L76" i="15"/>
  <c r="L40" i="15"/>
  <c r="D35" i="4"/>
  <c r="L40" i="4"/>
  <c r="L135" i="4"/>
  <c r="L24" i="4"/>
  <c r="F36" i="4"/>
  <c r="H36" i="4"/>
  <c r="C36" i="4"/>
  <c r="L76" i="4"/>
  <c r="I132" i="2"/>
  <c r="I132" i="15" s="1"/>
  <c r="C122" i="2"/>
  <c r="H122" i="2"/>
  <c r="I122" i="2"/>
  <c r="C90" i="2"/>
  <c r="C90" i="15" s="1"/>
  <c r="C83" i="2"/>
  <c r="C83" i="15" s="1"/>
  <c r="D40" i="2"/>
  <c r="D40" i="15" s="1"/>
  <c r="E40" i="2"/>
  <c r="E40" i="15" s="1"/>
  <c r="F40" i="2"/>
  <c r="F40" i="15" s="1"/>
  <c r="G40" i="2"/>
  <c r="G40" i="15" s="1"/>
  <c r="H40" i="2"/>
  <c r="H40" i="15" s="1"/>
  <c r="I40" i="2"/>
  <c r="I40" i="15" s="1"/>
  <c r="J40" i="2"/>
  <c r="J40" i="15" s="1"/>
  <c r="K40" i="2"/>
  <c r="K40" i="15" s="1"/>
  <c r="C40" i="2"/>
  <c r="C40" i="15" s="1"/>
  <c r="L38" i="2"/>
  <c r="L35" i="7" l="1"/>
  <c r="C36" i="7"/>
  <c r="L36" i="7" s="1"/>
  <c r="I135" i="15"/>
  <c r="L137" i="15" s="1"/>
  <c r="L132" i="15"/>
  <c r="L135" i="15" s="1"/>
  <c r="L35" i="4"/>
  <c r="D36" i="4"/>
  <c r="L36" i="4"/>
  <c r="M122" i="2"/>
  <c r="H34" i="2"/>
  <c r="H34" i="15" s="1"/>
  <c r="E34" i="2" l="1"/>
  <c r="E34" i="15" s="1"/>
  <c r="F34" i="2"/>
  <c r="F34" i="15" s="1"/>
  <c r="K34" i="2"/>
  <c r="K34" i="15" s="1"/>
  <c r="C34" i="2" l="1"/>
  <c r="C34" i="15" s="1"/>
  <c r="L55" i="2" l="1"/>
  <c r="G34" i="2" l="1"/>
  <c r="G34" i="15" s="1"/>
  <c r="L53" i="2"/>
  <c r="L39" i="2"/>
  <c r="L40" i="2" s="1"/>
  <c r="J34" i="2"/>
  <c r="J34" i="15" s="1"/>
  <c r="L19" i="2"/>
  <c r="D24" i="2"/>
  <c r="E24" i="2"/>
  <c r="F24" i="2"/>
  <c r="G24" i="2"/>
  <c r="H24" i="2"/>
  <c r="I24" i="2"/>
  <c r="J24" i="2"/>
  <c r="K24" i="2"/>
  <c r="M8" i="2"/>
  <c r="G79" i="2"/>
  <c r="G79" i="15" s="1"/>
  <c r="G80" i="2"/>
  <c r="G80" i="15" s="1"/>
  <c r="G81" i="2"/>
  <c r="G81" i="15" s="1"/>
  <c r="G82" i="2"/>
  <c r="G82" i="15" s="1"/>
  <c r="L34" i="15" l="1"/>
  <c r="K135" i="2"/>
  <c r="J135" i="2"/>
  <c r="I135" i="2"/>
  <c r="L137" i="2" s="1"/>
  <c r="H135" i="2"/>
  <c r="G135" i="2"/>
  <c r="F135" i="2"/>
  <c r="E135" i="2"/>
  <c r="D135" i="2"/>
  <c r="C135" i="2"/>
  <c r="L134" i="2"/>
  <c r="L133" i="2"/>
  <c r="L132" i="2"/>
  <c r="K76" i="2"/>
  <c r="K35" i="2" s="1"/>
  <c r="J76" i="2"/>
  <c r="J35" i="2" s="1"/>
  <c r="I76" i="2"/>
  <c r="I35" i="2" s="1"/>
  <c r="I35" i="15" s="1"/>
  <c r="H76" i="2"/>
  <c r="H35" i="2" s="1"/>
  <c r="G76" i="2"/>
  <c r="G35" i="2" s="1"/>
  <c r="G35" i="15" s="1"/>
  <c r="G36" i="15" s="1"/>
  <c r="F76" i="2"/>
  <c r="F35" i="2" s="1"/>
  <c r="E76" i="2"/>
  <c r="E35" i="2" s="1"/>
  <c r="D76" i="2"/>
  <c r="D35" i="2" s="1"/>
  <c r="C76" i="2"/>
  <c r="C35" i="2" s="1"/>
  <c r="L75" i="2"/>
  <c r="L74" i="2"/>
  <c r="L73" i="2"/>
  <c r="L62" i="2"/>
  <c r="L61" i="2"/>
  <c r="L60" i="2"/>
  <c r="L59" i="2"/>
  <c r="L58" i="2"/>
  <c r="L57" i="2"/>
  <c r="L56" i="2"/>
  <c r="L54" i="2"/>
  <c r="L52" i="2"/>
  <c r="L51" i="2"/>
  <c r="L50" i="2"/>
  <c r="L49" i="2"/>
  <c r="L45" i="2"/>
  <c r="L44" i="2"/>
  <c r="L42" i="2"/>
  <c r="L34" i="2"/>
  <c r="L32" i="2"/>
  <c r="L31" i="2"/>
  <c r="L23" i="2"/>
  <c r="L22" i="2"/>
  <c r="L21" i="2"/>
  <c r="L20" i="2"/>
  <c r="M12" i="2"/>
  <c r="M9" i="2"/>
  <c r="D35" i="15" l="1"/>
  <c r="D36" i="15" s="1"/>
  <c r="F35" i="15"/>
  <c r="F36" i="15" s="1"/>
  <c r="H35" i="15"/>
  <c r="H36" i="15" s="1"/>
  <c r="J35" i="15"/>
  <c r="J36" i="15" s="1"/>
  <c r="C35" i="15"/>
  <c r="C36" i="15" s="1"/>
  <c r="E35" i="15"/>
  <c r="E36" i="15" s="1"/>
  <c r="K35" i="15"/>
  <c r="K36" i="15" s="1"/>
  <c r="I36" i="15"/>
  <c r="L135" i="2"/>
  <c r="L76" i="2"/>
  <c r="L24" i="2"/>
  <c r="L35" i="2"/>
  <c r="L36" i="2" l="1"/>
  <c r="L35" i="15"/>
  <c r="L36" i="15"/>
</calcChain>
</file>

<file path=xl/sharedStrings.xml><?xml version="1.0" encoding="utf-8"?>
<sst xmlns="http://schemas.openxmlformats.org/spreadsheetml/2006/main" count="3482" uniqueCount="542">
  <si>
    <t>LCC</t>
  </si>
  <si>
    <t>PDC</t>
  </si>
  <si>
    <t>SCC</t>
  </si>
  <si>
    <t>Hopi</t>
  </si>
  <si>
    <t>Kayenta</t>
  </si>
  <si>
    <t>SPE</t>
  </si>
  <si>
    <t>STJ</t>
  </si>
  <si>
    <t>TOTAL</t>
  </si>
  <si>
    <t>Patrons Registered</t>
  </si>
  <si>
    <t>Student</t>
  </si>
  <si>
    <t>Staff</t>
  </si>
  <si>
    <t>Faculty</t>
  </si>
  <si>
    <t>Adult-Com</t>
  </si>
  <si>
    <t>Youth-C</t>
  </si>
  <si>
    <t>Total</t>
  </si>
  <si>
    <t>Materials Used</t>
  </si>
  <si>
    <t>Checkout</t>
  </si>
  <si>
    <t>Directional</t>
  </si>
  <si>
    <t>Reference</t>
  </si>
  <si>
    <t>Testing</t>
  </si>
  <si>
    <t>Other</t>
  </si>
  <si>
    <t>Instructional Sessions</t>
  </si>
  <si>
    <t>#people in sessions</t>
  </si>
  <si>
    <t>Borrowed by NPC</t>
  </si>
  <si>
    <t>Lent by NPC</t>
  </si>
  <si>
    <t>Returnable</t>
  </si>
  <si>
    <t>One-Time</t>
  </si>
  <si>
    <t>Titles</t>
  </si>
  <si>
    <t>WMC</t>
  </si>
  <si>
    <t>Career</t>
  </si>
  <si>
    <t>Electronic</t>
  </si>
  <si>
    <t>Holds/Requests within NPC system</t>
  </si>
  <si>
    <t>Made during the current month</t>
  </si>
  <si>
    <t>Filled during the current month</t>
  </si>
  <si>
    <t>Internet</t>
  </si>
  <si>
    <t>Fines Collected</t>
  </si>
  <si>
    <t>System Use of Materials</t>
  </si>
  <si>
    <t>Items Used by Patron Type</t>
  </si>
  <si>
    <t>Community Adult</t>
  </si>
  <si>
    <t>Community Youth</t>
  </si>
  <si>
    <t>WRV</t>
  </si>
  <si>
    <t>HIS</t>
  </si>
  <si>
    <t>HES</t>
  </si>
  <si>
    <t>SOC</t>
  </si>
  <si>
    <t>PSY</t>
  </si>
  <si>
    <t>Overdue Notices Sent to Patrons</t>
  </si>
  <si>
    <t>2nd Notice</t>
  </si>
  <si>
    <t>Billing</t>
  </si>
  <si>
    <t>Hold Recalls</t>
  </si>
  <si>
    <t>Items Sent for Repair</t>
  </si>
  <si>
    <t>Items Repaired</t>
  </si>
  <si>
    <t>(#students may be more than enrollment if unenrolled student still owes fines; also student records have not been purged yet)</t>
  </si>
  <si>
    <t>(Materials owned)</t>
  </si>
  <si>
    <t>Foreign Film</t>
  </si>
  <si>
    <t>DVD/CD</t>
  </si>
  <si>
    <t>PATRONS &amp; MATERIAL USE</t>
  </si>
  <si>
    <t>Reserves Used</t>
  </si>
  <si>
    <t>Equipment Used</t>
  </si>
  <si>
    <t>MATERIALS OWNED</t>
  </si>
  <si>
    <t>Monograph</t>
  </si>
  <si>
    <t>Serial</t>
  </si>
  <si>
    <t>Cassette</t>
  </si>
  <si>
    <t>Maps</t>
  </si>
  <si>
    <t>Print</t>
  </si>
  <si>
    <t>AV Media</t>
  </si>
  <si>
    <t>VHS</t>
  </si>
  <si>
    <t>SERIVICES PROVIDED</t>
  </si>
  <si>
    <t>NON-NPC</t>
  </si>
  <si>
    <t>DATABASE USE</t>
  </si>
  <si>
    <t>Name</t>
  </si>
  <si>
    <t>Academic Search Elite</t>
  </si>
  <si>
    <t>General</t>
  </si>
  <si>
    <t>Electronic Books</t>
  </si>
  <si>
    <t>ANT</t>
  </si>
  <si>
    <t>Other NPC</t>
  </si>
  <si>
    <t>Lost-not returned by patron</t>
  </si>
  <si>
    <t>Missing - not found on shelf</t>
  </si>
  <si>
    <t>Soc Sci</t>
  </si>
  <si>
    <t>Most microforms are in the Government Documents Collection</t>
  </si>
  <si>
    <t># of computers</t>
  </si>
  <si>
    <t>Health</t>
  </si>
  <si>
    <t>Science Magazine</t>
  </si>
  <si>
    <t>Chronicle of Higher Ed</t>
  </si>
  <si>
    <t>MAT</t>
  </si>
  <si>
    <t>Titles updated</t>
  </si>
  <si>
    <t>Narrative</t>
  </si>
  <si>
    <t>Reference/Public Service</t>
  </si>
  <si>
    <t>Collection Development</t>
  </si>
  <si>
    <t>Misc.</t>
  </si>
  <si>
    <t>E Book</t>
  </si>
  <si>
    <t>MicroFor</t>
  </si>
  <si>
    <t>Titles added</t>
  </si>
  <si>
    <t>Items removed</t>
  </si>
  <si>
    <t>ECD/EDU</t>
  </si>
  <si>
    <t>NAT/NUR</t>
  </si>
  <si>
    <t>GLG</t>
  </si>
  <si>
    <t>Computer Use - Library &amp; Open Lab Sign-Ins</t>
  </si>
  <si>
    <t>Misc. includes braille, globe, graphic, kits &amp; any other media not specified above.</t>
  </si>
  <si>
    <t>Nursing &amp; Allied Health</t>
  </si>
  <si>
    <t>Nursing Resource Ctr</t>
  </si>
  <si>
    <t>Sessions</t>
  </si>
  <si>
    <t>Searches</t>
  </si>
  <si>
    <t>JSTOR</t>
  </si>
  <si>
    <t>Sciences</t>
  </si>
  <si>
    <t>Northland Pioneer College Library System</t>
  </si>
  <si>
    <t xml:space="preserve">Items </t>
  </si>
  <si>
    <t>Equipment</t>
  </si>
  <si>
    <t>ENL</t>
  </si>
  <si>
    <t>BIO</t>
  </si>
  <si>
    <t>CHM</t>
  </si>
  <si>
    <t>GEO</t>
  </si>
  <si>
    <t>Ask a Librarian</t>
  </si>
  <si>
    <t>Library Catalog Usage</t>
  </si>
  <si>
    <t>Inst Email</t>
  </si>
  <si>
    <t>Equipmnt</t>
  </si>
  <si>
    <t>CINAHL</t>
  </si>
  <si>
    <t>Visits</t>
  </si>
  <si>
    <t>Interlibrary Loan - system wide</t>
  </si>
  <si>
    <t>One-Time = Article usually.  No activity in December.</t>
  </si>
  <si>
    <t>ART</t>
  </si>
  <si>
    <t>SPA</t>
  </si>
  <si>
    <t>not available</t>
  </si>
  <si>
    <t>Government Documents Collection is at LCC.</t>
  </si>
  <si>
    <t>Audio</t>
  </si>
  <si>
    <t>Educational Video</t>
  </si>
  <si>
    <t>Entertainment Video</t>
  </si>
  <si>
    <t>Government Documents</t>
  </si>
  <si>
    <t>Grants</t>
  </si>
  <si>
    <t>Professional Develop.</t>
  </si>
  <si>
    <t>MUS</t>
  </si>
  <si>
    <t>EMT</t>
  </si>
  <si>
    <t>Full-Text</t>
  </si>
  <si>
    <t>History Study Center</t>
  </si>
  <si>
    <t>Pre-Due Date Notice</t>
  </si>
  <si>
    <t>1st Notice</t>
  </si>
  <si>
    <t>HUM</t>
  </si>
  <si>
    <t>HUS</t>
  </si>
  <si>
    <t>Fiche+Film</t>
  </si>
  <si>
    <t>Collections</t>
  </si>
  <si>
    <t>EBSCO Ebooks</t>
  </si>
  <si>
    <t xml:space="preserve">      Ebook turnaways</t>
  </si>
  <si>
    <t>Career &amp; Technical Ed.</t>
  </si>
  <si>
    <t>Education Source</t>
  </si>
  <si>
    <t>Text a Librarian</t>
  </si>
  <si>
    <t>BUS</t>
  </si>
  <si>
    <t>(incoming)</t>
  </si>
  <si>
    <t>Faculty Video (off. wr.rm.)</t>
  </si>
  <si>
    <t>EasyBib</t>
  </si>
  <si>
    <t>ERIC</t>
  </si>
  <si>
    <t>Opposing Viewpoints</t>
  </si>
  <si>
    <t>OCLC</t>
  </si>
  <si>
    <t>Associates Program</t>
  </si>
  <si>
    <t>OPAC</t>
  </si>
  <si>
    <t>e-HRAF Archaeology</t>
  </si>
  <si>
    <t>Salem</t>
  </si>
  <si>
    <t>*Gov Doc Weeding</t>
  </si>
  <si>
    <t>Renewals</t>
  </si>
  <si>
    <t>In-House</t>
  </si>
  <si>
    <t>Equipment-Classrooms</t>
  </si>
  <si>
    <t>CCP</t>
  </si>
  <si>
    <t>CIS</t>
  </si>
  <si>
    <t>MDA</t>
  </si>
  <si>
    <t>PHL</t>
  </si>
  <si>
    <t>IMO</t>
  </si>
  <si>
    <t>Displays/Exhibits</t>
  </si>
  <si>
    <t>Books take you Anywhere - WMC</t>
  </si>
  <si>
    <t>Let Freedom Ring - WMC</t>
  </si>
  <si>
    <t>Student Success, DVD Tower, New Books - WMC</t>
  </si>
  <si>
    <t>Staff Development</t>
  </si>
  <si>
    <t xml:space="preserve">Denise - Customer Service Seminar (7/28/2015) </t>
  </si>
  <si>
    <t>Special Projects / Staff Accomplishments</t>
  </si>
  <si>
    <t>"Hot" and "Cool" Reads - WMC</t>
  </si>
  <si>
    <t>Susie worked with Susan @ LCC (7/1/2015 &amp; 7/17/2015)</t>
  </si>
  <si>
    <t>Meetings/Conferences</t>
  </si>
  <si>
    <t>Susie met with Stan @ WMC (7/17/2015)</t>
  </si>
  <si>
    <t>Daphne interviewed with the WMC library position (7/9/2015)</t>
  </si>
  <si>
    <t>Margaret - District Governing Board Meeting (7/21)</t>
  </si>
  <si>
    <t>Daphne sent out collection notices - 43 patrons</t>
  </si>
  <si>
    <t>Margaret worked at WMC (7/8)</t>
  </si>
  <si>
    <t>Daphne worked at WMC (7/6 &amp; 7/30)</t>
  </si>
  <si>
    <t>Margaret took MUS class to work on her degree at NPC</t>
  </si>
  <si>
    <t>N/A</t>
  </si>
  <si>
    <t>e-HRAF World Culture</t>
  </si>
  <si>
    <t>NAU Advisor Info Session/Training - Myrtle</t>
  </si>
  <si>
    <t>Janalda, Myrtle - Advisor Meeting (7/10)</t>
  </si>
  <si>
    <t>Myrtle - Center/Campus Managers' Mtg (7/15)</t>
  </si>
  <si>
    <t>Administrative/Personnel Changes</t>
  </si>
  <si>
    <t>Dawn Albert was hired as the new Center Advisor / Library Technician</t>
  </si>
  <si>
    <t>Kelley - Attended SOAR Facilitator Training</t>
  </si>
  <si>
    <t>Tribute to Graduates- WRV</t>
  </si>
  <si>
    <t>Nutrition/Food display - WRV</t>
  </si>
  <si>
    <t>Stan - Student Services (7/8)</t>
  </si>
  <si>
    <t>Margaret and Stan - SPASC (7/17)</t>
  </si>
  <si>
    <t>Stan - WRV Advisor/Library Tech and WMC Library Media Tech Interviews</t>
  </si>
  <si>
    <t>Learn about your country, truth, new books/DVD's - PDC</t>
  </si>
  <si>
    <t>Library</t>
  </si>
  <si>
    <t>DRA</t>
  </si>
  <si>
    <t>O</t>
  </si>
  <si>
    <t>Sept. 2015</t>
  </si>
  <si>
    <t>Oct. 2015</t>
  </si>
  <si>
    <t>Nov. 2015</t>
  </si>
  <si>
    <t>Dec. 2015</t>
  </si>
  <si>
    <t>Jan. 2016</t>
  </si>
  <si>
    <t>Feb. 2016</t>
  </si>
  <si>
    <t>Fernanda Marrietta and Debra McGinty resigned at WRV</t>
  </si>
  <si>
    <t>Velecia Dawn Albert  - Academic Advisor/Library Tech</t>
  </si>
  <si>
    <t>Kelley - SELP (8/3, 8/10, 8/14, 8/17)</t>
  </si>
  <si>
    <t>Kelley, Dawn - Registration training</t>
  </si>
  <si>
    <t>Kelley - CSOC (8/11), Center Manager Mtg (8/12)</t>
  </si>
  <si>
    <t>NPC Friends &amp; Family - WRV (8/21)</t>
  </si>
  <si>
    <t>Welcome Back - WRV</t>
  </si>
  <si>
    <t>Ice cream social for students help at Campuses &amp; Centers</t>
  </si>
  <si>
    <t>Daphne Brimhall started at WMC on 8/3/2015</t>
  </si>
  <si>
    <t>Susie Acton started at LCC on 8/3/2015</t>
  </si>
  <si>
    <t>Susie met with Stan for B &amp; T Training (8/14)</t>
  </si>
  <si>
    <t>NPC Booth at Hopi High School for Parent's night</t>
  </si>
  <si>
    <t>Shahannah Martin moved to Mesa</t>
  </si>
  <si>
    <t>Hired Susanna Wauneka as temp at PDC</t>
  </si>
  <si>
    <t>Navit Orientation at LCC (8/11)</t>
  </si>
  <si>
    <t>New Employee Oridentaiton (8/28), Dean's Meeting (8/25) - Stan</t>
  </si>
  <si>
    <t>EBSCO training online (8/13) - Stan</t>
  </si>
  <si>
    <t>Campus &amp; Center Manager's Meeting (8/12) - Myrtle</t>
  </si>
  <si>
    <t>Bethan - Sister Visit at Kayenta</t>
  </si>
  <si>
    <t>Registration &amp; Business Skills Training @ PDC - Myrtle (8/4)</t>
  </si>
  <si>
    <t>Jean Hammond working as temp at SPE</t>
  </si>
  <si>
    <t>MASS Action Plan Exercise Scenario @ WMC (8/5) - Myrtle, Janalda, Tamara</t>
  </si>
  <si>
    <t>Library Staff Meeting (8/7) -Susie, Susan, Bethann, Denise, Daphne, Stan, Margaret, Janalda, Dawn, Stan, Myrtle, Tamara</t>
  </si>
  <si>
    <t>Recycle &amp; New Books - WMC</t>
  </si>
  <si>
    <t>Denise - WRV sister visit (8/12)</t>
  </si>
  <si>
    <t>Daphne - St. Johns sister visit (8/19)</t>
  </si>
  <si>
    <t>Registration Training (8/3) - Janalda</t>
  </si>
  <si>
    <t>Daphne worked at SCC (8/10)</t>
  </si>
  <si>
    <t>Daphne renewed library accounts in EOS for faculty &amp; staff</t>
  </si>
  <si>
    <t>PASS - Nicole</t>
  </si>
  <si>
    <t>Division Meetings hed at SCC, library assisted.  (8/19)</t>
  </si>
  <si>
    <t>Daphne, Denise, Margaret - FWS Training</t>
  </si>
  <si>
    <t>SPASC - Stan (8/10 &amp; 8/21) and Margaret (8/10)</t>
  </si>
  <si>
    <t>District Governing Board Meeting - Margaret (8/18)</t>
  </si>
  <si>
    <t>Pot Luck at SCC - Margaret, Sharon, McKayla</t>
  </si>
  <si>
    <t>Library Work Hours and Mosio Schedule - Margaret</t>
  </si>
  <si>
    <t>TESTING</t>
  </si>
  <si>
    <t>Susie, Susan, Daphne completed Safe College - Sexual Violence Awareness Training Course</t>
  </si>
  <si>
    <t>As of June 2016</t>
  </si>
  <si>
    <t>AS of June 2016</t>
  </si>
  <si>
    <t>Pass - Nicole</t>
  </si>
  <si>
    <t>NARRATIVE</t>
  </si>
  <si>
    <t>FY 2015-2016</t>
  </si>
  <si>
    <t>We're here for you, Learn something new, Codetalkers - PDC</t>
  </si>
  <si>
    <t>Convocation - Kelley, Dawn, Susan, Susie, Daphne, Margaret, Denise (afternoon), Myrtle, Janalda, Tamara, Stan, Bethann</t>
  </si>
  <si>
    <t>PASS Nicole</t>
  </si>
  <si>
    <t>Hired Ashley Gorman and Zoe Russell as Work-Study at WMC</t>
  </si>
  <si>
    <t>Received Atomic Clocks for testing rooms</t>
  </si>
  <si>
    <t>Daphne was trained on ILL's by Susie - 9/14</t>
  </si>
  <si>
    <t>WMC took over responsibility of ILL's - 9/14</t>
  </si>
  <si>
    <t>Daphne sent out expired card notices - 9/23</t>
  </si>
  <si>
    <t>Daphne began assisting with reviewing library procedures - 9/20</t>
  </si>
  <si>
    <t>Daphne &amp; Denise completed staff SOAR training</t>
  </si>
  <si>
    <t>McKayla Kriter started working as Work-Study at WMC</t>
  </si>
  <si>
    <t>Margaret, Sharon, McKayla finished library training on Moodle</t>
  </si>
  <si>
    <t>College Council (9/11) - Nicole, Margaret</t>
  </si>
  <si>
    <t>District Governing Board Meeting (9/15) - Margaret</t>
  </si>
  <si>
    <t>CASO, All College Forum (9/18) - Margaret</t>
  </si>
  <si>
    <t>Margaret volunteered at Navajo County Fair (9/17)</t>
  </si>
  <si>
    <t>Margaret volunteered at Pedal the Petrified (9/18 &amp; 9/19)</t>
  </si>
  <si>
    <t>Margaret attended the "Empty Bowls" project (9/25)</t>
  </si>
  <si>
    <t>New Book &amp; DVD Collection - SCC, WMC</t>
  </si>
  <si>
    <t>Margaret assisted Royce Kincannon and Kim Costion-Howell</t>
  </si>
  <si>
    <t>with equipment at SCC (9/25)</t>
  </si>
  <si>
    <t>Hired Angelica Sandoval and Micahelson John as Work-Study at Hopi</t>
  </si>
  <si>
    <t>Susan acton retired 9/30/2015</t>
  </si>
  <si>
    <t xml:space="preserve">Stan was trained on serials by Susie </t>
  </si>
  <si>
    <t>Bethann was trained on archives by Susie</t>
  </si>
  <si>
    <t>Inventory Meeting - Stan, Daphne, Bethann (9/23)</t>
  </si>
  <si>
    <t>PDC Safety Mtg (9/14), LTC Mtg (9/17, 9/24) - Stan</t>
  </si>
  <si>
    <t>PASS demo (9/14, 9/16, 9/17) - Stan</t>
  </si>
  <si>
    <t>SPASC (9/4 &amp; 9/18) - Margaret and Stan</t>
  </si>
  <si>
    <t>ASC (9/2, 9/18), Dean's Mtg (9/8, 9/22) - Stan</t>
  </si>
  <si>
    <t>NPC Family &amp; Friends (9/18) - Kelley</t>
  </si>
  <si>
    <t>Advisor Meeting - Janalda, Kelley, Dawn</t>
  </si>
  <si>
    <t>Library Advisory Mtg (9/10), IC (9/11) - Stan</t>
  </si>
  <si>
    <t>Student Services (9/9) Faculty Assoc. (9/11)- Stan</t>
  </si>
  <si>
    <t>Campus/Center Manager Mtg (9/16) - Kelley</t>
  </si>
  <si>
    <t>Disabilities Month - WRV</t>
  </si>
  <si>
    <t>Patriot Day - PDC</t>
  </si>
  <si>
    <t>Banned Book, Fall - WMC, Hopi, LCC</t>
  </si>
  <si>
    <t>Histpanic Heritage - SCC, WMC, PDC, LCC</t>
  </si>
  <si>
    <t>Constitution Day - WMC, SCC, PDC, WRV, LCC</t>
  </si>
  <si>
    <t>ADA Anniversary, Halloween, October (apples &amp; Fall) - WMC</t>
  </si>
  <si>
    <t>Breast Cancer and Domestic Violence - WMC</t>
  </si>
  <si>
    <t>Daphne removed expired patron records from EOS</t>
  </si>
  <si>
    <t>Denise met with Wei Ma on Moodle (10/26)</t>
  </si>
  <si>
    <t>PageViews or</t>
  </si>
  <si>
    <t>Other Measure</t>
  </si>
  <si>
    <t>Worldcat</t>
  </si>
  <si>
    <t>WorldCat</t>
  </si>
  <si>
    <t>Halloween related books - Hopi</t>
  </si>
  <si>
    <t xml:space="preserve">Janalda - Student Services Retreat </t>
  </si>
  <si>
    <t>Dawn, Kelley - Community Outreach Meeting / Student Focus Group (10/7)</t>
  </si>
  <si>
    <t>NAU Outreach @ WRV - Dawn (10/22)</t>
  </si>
  <si>
    <t>Emergency Preparedness Training @ WRV - Kelly, Dawn (10/16)</t>
  </si>
  <si>
    <t>Effective Teaching - Model Classroom - Dawn, Kelley (10/12)</t>
  </si>
  <si>
    <t>Kelley, Margaret - District Governing Board Meeting (10/20)</t>
  </si>
  <si>
    <t>Dawn, Myrtle - Student Services Retreat (10/29)</t>
  </si>
  <si>
    <t>Kelley, Myrtle - Campus &amp; Center's Manager Meeting (10/29)</t>
  </si>
  <si>
    <t>Academic Calendar - Kayenta</t>
  </si>
  <si>
    <t>Soar Training Completed - Sharon (10/20), Margaret (10/22)</t>
  </si>
  <si>
    <t>"Model" Classroom Training - Margaret (10/23)</t>
  </si>
  <si>
    <t>Margaret - College Council (10/9)</t>
  </si>
  <si>
    <t>Margaret - SPASC, CASO, All College Forum - all on 10/16</t>
  </si>
  <si>
    <t>All libraries discarded expired borrower applications</t>
  </si>
  <si>
    <t>October Days - SCC</t>
  </si>
  <si>
    <t>Domestic Violence, Cookie, Seafood - Hopi</t>
  </si>
  <si>
    <t>Domestic Violence, FA Oct - Kayenta</t>
  </si>
  <si>
    <t>WMC began discard project - discarded several books in "L" section</t>
  </si>
  <si>
    <t xml:space="preserve">Tamara - Community Outreach Meeting </t>
  </si>
  <si>
    <t>Civil Rights Poster - SPE</t>
  </si>
  <si>
    <t>SCC assisted Mark Ford by playing a VHS recording in Video 1 Classroom when he was at another campus.</t>
  </si>
  <si>
    <t>Bethann worked at LCC (10/12-10/14)</t>
  </si>
  <si>
    <t>Webinar for B&amp;T Migration - Stan (10/29)</t>
  </si>
  <si>
    <t>Stan - SPASC (10/2, 10/16), IC (10/9), ASC (10/9, 10/23), Student Services (10/14), LTC (10/15)</t>
  </si>
  <si>
    <t>Retirement Party for Susie Acton (10/1)</t>
  </si>
  <si>
    <t>Hispanic American Heritage - WMC, PDC</t>
  </si>
  <si>
    <t>Disability Awareness - SCC, Hopi, Kayenta, WMC, PDC</t>
  </si>
  <si>
    <t>"Horrors" - PDC</t>
  </si>
  <si>
    <t>Susie Training Stan in Periodicals Management</t>
  </si>
  <si>
    <t>Susie Training Bethan in Archives Management</t>
  </si>
  <si>
    <t xml:space="preserve">SCC closed on 11/3 because of power outage </t>
  </si>
  <si>
    <t>College Council (11/13), District Governing Board (11/17) - Margaret</t>
  </si>
  <si>
    <t>Empty Bowls @ WMC, CASO (11/20) - Margaret</t>
  </si>
  <si>
    <t>Government Document weeding project continues at LCC.</t>
  </si>
  <si>
    <t>Recycling, Diabetes Awareness - LCC</t>
  </si>
  <si>
    <t>Instructional Council (11/6, 11/20)- Stan</t>
  </si>
  <si>
    <t>SPASC (11/6 &amp; 11/20) - Margaret, Stan</t>
  </si>
  <si>
    <t>ASC (11/13) - Stan</t>
  </si>
  <si>
    <t>Learning Technologies (11/19) - Stan</t>
  </si>
  <si>
    <t>Student Services (11/24) - Stan</t>
  </si>
  <si>
    <t>Native American Heritage - SCC, LCC, PDC, WMC, Kayenta</t>
  </si>
  <si>
    <t>Veteran's Day - Kayenta, Hopi, LCC, PDC</t>
  </si>
  <si>
    <t>Thank You - WMC</t>
  </si>
  <si>
    <t>Days of November - SCC, WMC</t>
  </si>
  <si>
    <t>Thanksgiving - Hopi, LCC, PDC, WMC</t>
  </si>
  <si>
    <t>Daphne went to WRV to train Dawn and perform other library duties (11/6)</t>
  </si>
  <si>
    <t>Advisors meeting (11/12) - Janalda, Myrtle, Dawn</t>
  </si>
  <si>
    <t>Emergency Preparedness Mtg with WRV staff (11/20)</t>
  </si>
  <si>
    <t>Campus/Center Manager's Mtg (11/18) - Myrtle, Kelley</t>
  </si>
  <si>
    <t>Career Readiness Workshop - Kelly and Dawn (11/23 &amp; 11/30)</t>
  </si>
  <si>
    <t>ANT tests dates were different than what students were told.</t>
  </si>
  <si>
    <t>Maintenance completed on 6 library computers @ WMC (12/21)</t>
  </si>
  <si>
    <t>Color away Stress, Cozy up to a Good Book - WMC</t>
  </si>
  <si>
    <t>Daphne completed library staff training (12/28)</t>
  </si>
  <si>
    <t>Advisor's Mtg - Myrtle</t>
  </si>
  <si>
    <t>Daphne, Denise, Stan completed Inventory Procedure changes</t>
  </si>
  <si>
    <r>
      <t xml:space="preserve">One-Time = Article usually.  </t>
    </r>
    <r>
      <rPr>
        <b/>
        <sz val="10"/>
        <rFont val="Arial"/>
        <family val="2"/>
      </rPr>
      <t>No activity in December.</t>
    </r>
  </si>
  <si>
    <t>"Tis the season to be Reading" - PDC</t>
  </si>
  <si>
    <t>Recycle, Winter Poetry, Santa reads - PDC</t>
  </si>
  <si>
    <t>Myrtle, Bethann  -Purchasing Training (12/11)</t>
  </si>
  <si>
    <t>Professional Dev Scholarship Mtg (12/3) - Bethann</t>
  </si>
  <si>
    <t xml:space="preserve">ACCDOL (12/10), IC (12/11), SPASC (12/18) - Stan </t>
  </si>
  <si>
    <t>Pearl Harbor Day, Winter Holidays - LCC – posters</t>
  </si>
  <si>
    <t>Christmas - WMC, Hopi</t>
  </si>
  <si>
    <t>Spiritual Literacy, Bingo, and "Write a Friend" - Hopi</t>
  </si>
  <si>
    <t>VITA Free Tax Preparation Training - Janalda</t>
  </si>
  <si>
    <t>FWS Hours were extended during Semester Break</t>
  </si>
  <si>
    <t xml:space="preserve">Margaret assisted a new faculty member </t>
  </si>
  <si>
    <t>and provided information for a workshop</t>
  </si>
  <si>
    <t>Margaret's contract extended through 6/2016.</t>
  </si>
  <si>
    <t>Margaret - LinkedIn workshop (12/4)</t>
  </si>
  <si>
    <t>SPASC (12/4), College Council (12/11), CASO (12/18), All-College Forum (12/18) - Margaret</t>
  </si>
  <si>
    <t>December Days - WMC, SCC</t>
  </si>
  <si>
    <t>Snowman and Christmas Tree - SCC</t>
  </si>
  <si>
    <t>District Governing Board Meeting (12/15) - Margaret</t>
  </si>
  <si>
    <t>Alex Rodriguez no longer working at WRV</t>
  </si>
  <si>
    <t>Dawn, Kelley - Career Service Workshop (12/3)</t>
  </si>
  <si>
    <t>Soar Training - Kelley (12/17)</t>
  </si>
  <si>
    <t>Campus/Center Manager's Mtg - Kelley, Myrtle (12/3)</t>
  </si>
  <si>
    <t>Anger Management Webinar - Myrtle (1/27)</t>
  </si>
  <si>
    <t>Library Staff Meeting (1/29) - Myrtle, Daphne, Denise, Margaret, Susan, Sharon, Bethann, Tamara, Janalda, Dawn</t>
  </si>
  <si>
    <t>Nataional Celebrity Read-a-book - KAY, WMC</t>
  </si>
  <si>
    <t>Vernon Gatewood - started work at WRV (1/19)</t>
  </si>
  <si>
    <t xml:space="preserve">Rebecca Baylish resigned at WRV </t>
  </si>
  <si>
    <t>Strategic Planning (1/8) - Dawn</t>
  </si>
  <si>
    <t>NPC Friends &amp; Family (1/8) - Dawn</t>
  </si>
  <si>
    <t>Emergency Preparedness (1/29) - Dawn</t>
  </si>
  <si>
    <t>Convocation (1/11) - Myrtle, Daphne, Denise, Margaret, Janalda, Dawn, Stan</t>
  </si>
  <si>
    <t>AVM Testing (1/12) - Stan</t>
  </si>
  <si>
    <t>You belong @ your library - PDC</t>
  </si>
  <si>
    <t>Get caught reading - PDC</t>
  </si>
  <si>
    <t>Martin Luther King - KAY, WMC, LCC, PDC, Hopi</t>
  </si>
  <si>
    <t>Chinese New Year - Hopi</t>
  </si>
  <si>
    <t>Read-a-Book - Hopi</t>
  </si>
  <si>
    <t>VITA free tax preparation - Janalda</t>
  </si>
  <si>
    <t>HOYI Collaborator Meeting - Janalda</t>
  </si>
  <si>
    <t>WMC Campus closed due to snow storm (1/7/16)</t>
  </si>
  <si>
    <t>CPR/First Aid Workshop (1/25) - Denise</t>
  </si>
  <si>
    <t>CASO Retreat (1/11) - Denise, Margaret</t>
  </si>
  <si>
    <t>Welcome back - WRV, Hopi, WMC</t>
  </si>
  <si>
    <t>January Days, Puzzle - WMC</t>
  </si>
  <si>
    <t>New Items - PDC, WMC</t>
  </si>
  <si>
    <t>WRV Sister Visit (1/13) - Denise</t>
  </si>
  <si>
    <t>STJ &amp; SPE Sister Visit (1/7 &amp; 1/14) - Daphne</t>
  </si>
  <si>
    <t>Continuing discard project at WMC</t>
  </si>
  <si>
    <t>Associate Librarian Interview Committee (1/29) - Daphne</t>
  </si>
  <si>
    <t>SCC has experienced delivery problems with AZ Republic</t>
  </si>
  <si>
    <t>Debra Begay and John Rodriguez-Mercer started FWS at SCC</t>
  </si>
  <si>
    <t>SPASC - Stan (1/22) and Margaret (1/8 &amp; 1/22)</t>
  </si>
  <si>
    <t>District Governing Board Meteing (1/19), SCC Security Meeting (1/27) - Margaret</t>
  </si>
  <si>
    <t>CASO Valentine Fundraiser - SCC Library Staff</t>
  </si>
  <si>
    <t>Equipment Inventory - SCC</t>
  </si>
  <si>
    <t>Film</t>
  </si>
  <si>
    <t>Fiche removed 2/2016</t>
  </si>
  <si>
    <t>Daphne Completed inventory at WRV with help from Michelle (WRV)</t>
  </si>
  <si>
    <t>Daphne - Interview Committee for WMC Assistant Campus Manager (2/24)</t>
  </si>
  <si>
    <t>Library Lovers/American Heart and Valentines's Day - WMC</t>
  </si>
  <si>
    <t>(WRV Inventory)</t>
  </si>
  <si>
    <t>Grant</t>
  </si>
  <si>
    <t>Academic Search Complete</t>
  </si>
  <si>
    <t>Discontinued in Jan. 2016</t>
  </si>
  <si>
    <t>Cynthia Smith hired as Assoc. Librarian - LCC</t>
  </si>
  <si>
    <t>New Book and Puzzle  - WMC</t>
  </si>
  <si>
    <t>Stan - Student Services (2/10), IC (2/11), Archives (2/23), Budget Hearing (2/29)</t>
  </si>
  <si>
    <t>Bethann got all the Archives up-to-date</t>
  </si>
  <si>
    <t>Margaret and Daphne attended CPR Workshop (2/12)</t>
  </si>
  <si>
    <t>Valentine's Day - Hopi</t>
  </si>
  <si>
    <t>Vita Free Tax Preparation - Hopi</t>
  </si>
  <si>
    <t>Back-to-School BBQ - Library app/Student ID sign-up at Hopi</t>
  </si>
  <si>
    <t>MLK - Kayenta</t>
  </si>
  <si>
    <t>Black History - WMC, PDC, Hopi, LCC</t>
  </si>
  <si>
    <t>George Washington's Birthday - LCC</t>
  </si>
  <si>
    <t>Stan and Margaret - SPASC (2/5, 2/19)</t>
  </si>
  <si>
    <t>Stan - PDC Safety Mtg (2/8)</t>
  </si>
  <si>
    <t>SCC Staff worked on Valentine "goodie bags" for CASO fundraiser</t>
  </si>
  <si>
    <t>President's Day - PDC, Hopi, LCC, SCC</t>
  </si>
  <si>
    <t>AZ Birthday - PDC, WMC, SCC</t>
  </si>
  <si>
    <t>Margaret - District Governing Board (2/16), CASO (2/19),  College Forum (2/19)</t>
  </si>
  <si>
    <t xml:space="preserve">Janalda, Myrtle, Dawn - Advisor's Mtg (2/12) </t>
  </si>
  <si>
    <t>Myrtle, Dawn - Campu/Center Manager's mtg (2/24)</t>
  </si>
  <si>
    <t>Dawn - SGA (2/5), WRV Center Staff Mtg, Friends &amp; Family(2/19), Leadership Mtg (2/25)</t>
  </si>
  <si>
    <t>Daphne - Interview committee for Assistant to the Campus Manager at WMC (2/24)</t>
  </si>
  <si>
    <t>Daphne - Associate Librarian Interview Committee (2/2)</t>
  </si>
  <si>
    <t>Cynthia Smith started at LCC Library (3/7)</t>
  </si>
  <si>
    <t>Cynthia - SOARS Training (3/7)</t>
  </si>
  <si>
    <t>Daphne trained Cynthia - EOS and library procedures (3/9)</t>
  </si>
  <si>
    <t>Cynthia - Library modules completed (3/11)</t>
  </si>
  <si>
    <t>Cynthia &amp; Stan - road trip to WMC, PDC, SCC (3/21)</t>
  </si>
  <si>
    <t>Cynthia - FWS Training (3/29)</t>
  </si>
  <si>
    <t>Susan self-evaluation with Stan (3/23)</t>
  </si>
  <si>
    <t>Freedom of Information Act - LCC</t>
  </si>
  <si>
    <t>Irish American History - PDC</t>
  </si>
  <si>
    <t>OneBookAZ - PDC</t>
  </si>
  <si>
    <t>Stan - SPASC (3/4), ASC (3/7), Dean's Mtg (3/8)</t>
  </si>
  <si>
    <t>Stan - Temp/FWS Mtg (3/8), Student Srvcs (3/9), IC (3/11)</t>
  </si>
  <si>
    <t>Stan - Learning Technologies (3/24)</t>
  </si>
  <si>
    <t>Government Document removal continues now with print.</t>
  </si>
  <si>
    <t>Issues with proctoring test during class time - too many students @ WMC</t>
  </si>
  <si>
    <t>St. Patrick's Day, New Books, Puzzle, AZ Gives Day - WMC</t>
  </si>
  <si>
    <t>Denise - Insurance Meeting (3/22)</t>
  </si>
  <si>
    <t>3 new FWS at Hopi</t>
  </si>
  <si>
    <t>Myrtle - Advisor's Mtg (3/11, Campus/Center Manager's Mtg (3/23)</t>
  </si>
  <si>
    <t>Easter, St. Patrick's Day - Hopi</t>
  </si>
  <si>
    <t>Janalda - VITA Tax Preparation and Veteran's Priority Registration Day</t>
  </si>
  <si>
    <t>Janalda, Dawn - Advisor's Mtg (3/11)</t>
  </si>
  <si>
    <t>Dawn - WRV Staff Mtg (3/11)</t>
  </si>
  <si>
    <t>Dawn - American Indain Student Success Forum ASU (3/22)</t>
  </si>
  <si>
    <t>Women's History Month - Kayenta, LCC, PDC, WMC, Hopi, SCC</t>
  </si>
  <si>
    <t>Arizona, St. Patrick's Day, New Books, DVD's - SCC</t>
  </si>
  <si>
    <t>Margaret - SPASC (3/4), District Governing Board Mtg (3/22)</t>
  </si>
  <si>
    <t>Power &amp; Phone Service Outdage (3/22) at SCC</t>
  </si>
  <si>
    <t>AZ State Inspection w/ Susan Jamison</t>
  </si>
  <si>
    <t>Alchesay HS tour of Whiteriver Center (4/6)</t>
  </si>
  <si>
    <t>Learn Something New - PDC</t>
  </si>
  <si>
    <t>Library Staff  evaluations completed by Stan Pirog.</t>
  </si>
  <si>
    <t>Cynthia - Archive training with Bethann (5/8)</t>
  </si>
  <si>
    <t>SCC Library Assisted with equipment for Dual Enrollment Mtg (4/7)</t>
  </si>
  <si>
    <t>Daphne helped cover SCC Library during ENL information literacy sessions (4/4)</t>
  </si>
  <si>
    <t>Earth Day/Environment - PDC, WMC, LCC, SCC</t>
  </si>
  <si>
    <t>Jazz - SCC</t>
  </si>
  <si>
    <t>April Days, Puzzle - WMC</t>
  </si>
  <si>
    <r>
      <t>Stan, Bethann, Daphne, Margaret, Myrtle -</t>
    </r>
    <r>
      <rPr>
        <u/>
        <sz val="10"/>
        <rFont val="Arial"/>
        <family val="2"/>
      </rPr>
      <t xml:space="preserve"> District Governing Board Mtg</t>
    </r>
    <r>
      <rPr>
        <sz val="10"/>
        <rFont val="Arial"/>
        <family val="2"/>
      </rPr>
      <t xml:space="preserve"> (4/12)</t>
    </r>
  </si>
  <si>
    <r>
      <t>Stan, Margaret -</t>
    </r>
    <r>
      <rPr>
        <u/>
        <sz val="10"/>
        <rFont val="Arial"/>
        <family val="2"/>
      </rPr>
      <t xml:space="preserve"> SPASC</t>
    </r>
    <r>
      <rPr>
        <sz val="10"/>
        <rFont val="Arial"/>
        <family val="2"/>
      </rPr>
      <t xml:space="preserve"> (4/1, 4/15), </t>
    </r>
  </si>
  <si>
    <r>
      <t>Stan -</t>
    </r>
    <r>
      <rPr>
        <u/>
        <sz val="10"/>
        <rFont val="Arial"/>
        <family val="2"/>
      </rPr>
      <t xml:space="preserve"> ASC</t>
    </r>
    <r>
      <rPr>
        <sz val="10"/>
        <rFont val="Arial"/>
        <family val="2"/>
      </rPr>
      <t xml:space="preserve"> (4/4), IC (4/8), </t>
    </r>
    <r>
      <rPr>
        <u/>
        <sz val="10"/>
        <rFont val="Arial"/>
        <family val="2"/>
      </rPr>
      <t xml:space="preserve">LTC </t>
    </r>
    <r>
      <rPr>
        <sz val="10"/>
        <rFont val="Arial"/>
        <family val="2"/>
      </rPr>
      <t xml:space="preserve">(4/21), </t>
    </r>
    <r>
      <rPr>
        <u/>
        <sz val="10"/>
        <rFont val="Arial"/>
        <family val="2"/>
      </rPr>
      <t>Student Services</t>
    </r>
    <r>
      <rPr>
        <sz val="10"/>
        <rFont val="Arial"/>
        <family val="2"/>
      </rPr>
      <t xml:space="preserve"> (4/26), </t>
    </r>
    <r>
      <rPr>
        <u/>
        <sz val="10"/>
        <rFont val="Arial"/>
        <family val="2"/>
      </rPr>
      <t>PDC Safety Comm.</t>
    </r>
    <r>
      <rPr>
        <sz val="10"/>
        <rFont val="Arial"/>
        <family val="2"/>
      </rPr>
      <t xml:space="preserve"> (4/11)</t>
    </r>
  </si>
  <si>
    <r>
      <t xml:space="preserve">Stan, Denise, Daphne, Margaret, Sharon, Susie - </t>
    </r>
    <r>
      <rPr>
        <u/>
        <sz val="10"/>
        <rFont val="Arial"/>
        <family val="2"/>
      </rPr>
      <t>College Picnic</t>
    </r>
    <r>
      <rPr>
        <sz val="10"/>
        <rFont val="Arial"/>
        <family val="2"/>
      </rPr>
      <t xml:space="preserve"> (4/29)</t>
    </r>
  </si>
  <si>
    <r>
      <t xml:space="preserve">Myrtle - </t>
    </r>
    <r>
      <rPr>
        <u/>
        <sz val="10"/>
        <rFont val="Arial"/>
        <family val="2"/>
      </rPr>
      <t>Center Manager's Mtg</t>
    </r>
    <r>
      <rPr>
        <sz val="10"/>
        <rFont val="Arial"/>
        <family val="2"/>
      </rPr>
      <t xml:space="preserve"> (4/20)</t>
    </r>
  </si>
  <si>
    <t>AZ Transfer Summit -Janalda</t>
  </si>
  <si>
    <r>
      <t xml:space="preserve">Dawn, Myrtle, Janalda - </t>
    </r>
    <r>
      <rPr>
        <u/>
        <sz val="10"/>
        <rFont val="Arial"/>
        <family val="2"/>
      </rPr>
      <t>Advisor's Meeting</t>
    </r>
    <r>
      <rPr>
        <sz val="10"/>
        <rFont val="Arial"/>
        <family val="2"/>
      </rPr>
      <t xml:space="preserve"> (4/8)</t>
    </r>
  </si>
  <si>
    <r>
      <t>Stan, Bethann, Daphne, Denise, Margaret, Susan, Cynthia, Myrtle, Dawn, Tamara, Janalda -</t>
    </r>
    <r>
      <rPr>
        <u/>
        <sz val="10"/>
        <rFont val="Arial"/>
        <family val="2"/>
      </rPr>
      <t xml:space="preserve"> Library Staff Meeting</t>
    </r>
    <r>
      <rPr>
        <sz val="10"/>
        <rFont val="Arial"/>
        <family val="2"/>
      </rPr>
      <t xml:space="preserve"> (4/29)</t>
    </r>
  </si>
  <si>
    <t>Poetry Month - PDC, Kayenta, LCC, WMC, Hopi</t>
  </si>
  <si>
    <t>National Library Week - PDC, WMC, Kayenta, Hopi</t>
  </si>
  <si>
    <t>Autisim Awareness, Mathematics - Hopi</t>
  </si>
  <si>
    <t>AZ Gives Day - Hopi, WMC</t>
  </si>
  <si>
    <t>Janalda - Mental Health Training</t>
  </si>
  <si>
    <t>Military Appreciation, "Check it Out" - PDC</t>
  </si>
  <si>
    <t>Children's Book Week, Mother's Day - Hopi</t>
  </si>
  <si>
    <t>Stan - SPASC (5/6, 5/20), Dean's Mtg (5/10, 5/24)</t>
  </si>
  <si>
    <t>Jay Begay hired as temp employee at PDC</t>
  </si>
  <si>
    <t>Susan - Profession Development Scholarship flier for CASO</t>
  </si>
  <si>
    <t>Susan - training with Stan regarding DVD cover upload project (5/16)</t>
  </si>
  <si>
    <t>Red Cross Day, Inventor's Month - LCC</t>
  </si>
  <si>
    <t>Cynthia &amp; Susan - rearranged LCC workroom to accommodate growing DVD collection</t>
  </si>
  <si>
    <t>Denise &amp; Daphne - rearranged WMC workroom to accommodate growing DVD collection</t>
  </si>
  <si>
    <t>Memorial Day - Hopi, PDC, LCC, Kayenta</t>
  </si>
  <si>
    <t>Myrtle - Advisor's Mtg (5/13), Manager's Mtg (5/18), Learning Aids (5/20)</t>
  </si>
  <si>
    <t>FWS were allowed to work one week after Spring Semester ended.</t>
  </si>
  <si>
    <t xml:space="preserve">Students continue to need help with </t>
  </si>
  <si>
    <t>wireless connection on laptops at SCC and WMC</t>
  </si>
  <si>
    <t>Margaret - SPASC (5/6, 5/20)</t>
  </si>
  <si>
    <t>Margaret - Assisted with ironing graduation gowns (5/5)</t>
  </si>
  <si>
    <t>Daphne &amp; Denise - Retirement party at WMC</t>
  </si>
  <si>
    <t>Margaret graduated with AGS (5/14)</t>
  </si>
  <si>
    <t>Margaret, Sharon &amp; Daphne - Retirement party at SCC (5/11)</t>
  </si>
  <si>
    <t>Issues with intoxicated person in library</t>
  </si>
  <si>
    <t>Astronomy, Color Away Stress, Graduation, Children's Book, New Books &amp; DVD - WMC</t>
  </si>
  <si>
    <t>Daphne - training at WRV (5/17)</t>
  </si>
  <si>
    <t xml:space="preserve">Emergency Preparedness Meeting - WRV Staff </t>
  </si>
  <si>
    <t>Continued issues with wireless access - PDC</t>
  </si>
  <si>
    <t xml:space="preserve">Louann Maner Crosby hired as Associate Librarian at SCC </t>
  </si>
  <si>
    <t>Prezi Webinar (6/22) - Stan</t>
  </si>
  <si>
    <t>Stan - Interview committee for Kay Advisor/Lib Tech (6/23)</t>
  </si>
  <si>
    <t xml:space="preserve">Stan - Interivew Committee for Assoc. Librarian @ SCC (6/7) </t>
  </si>
  <si>
    <t>Do the Math!, Open up &amp; say "Ah" - PDC</t>
  </si>
  <si>
    <t>AZ Women's in Higher Education Conference (6/2, 6/3) - Myrtle</t>
  </si>
  <si>
    <t>Janalda, Myrtle - Advisor's Meeting</t>
  </si>
  <si>
    <t>Myrtle - Campus &amp; Center Manager's Mtg 9</t>
  </si>
  <si>
    <t>Stan, Margaret - SPASC (6/17)</t>
  </si>
  <si>
    <t>Stan - Dean's Mtg (6/28)</t>
  </si>
  <si>
    <t>Margaret's last day 6/30/2016</t>
  </si>
  <si>
    <t xml:space="preserve">Myrtle's last day as Kayenta Advior/Lib Tech 6/30/2016.  </t>
  </si>
  <si>
    <t>New position - Center Manager</t>
  </si>
  <si>
    <t>Father's Day - Hopi, SCC</t>
  </si>
  <si>
    <t>Sauntering Day - SCC</t>
  </si>
  <si>
    <t>Alzheimer's Awareness, National Outdoor Month, Safety Awareness, PTSD - Hopi</t>
  </si>
  <si>
    <t xml:space="preserve">Daphne covered at SCC Library 6/3, 6/21, 6/24.  </t>
  </si>
  <si>
    <t>WMC closure due to fire (15-17)</t>
  </si>
  <si>
    <t>Puzzle, Travel, Flag Day, Cancer - WMC</t>
  </si>
  <si>
    <t>Flag Day, D-Day - LCC</t>
  </si>
  <si>
    <t>Denise started repairing items</t>
  </si>
  <si>
    <t>WMC began weeing project in "R" section</t>
  </si>
  <si>
    <t>Received Digital Photo Frame at WMC, PDC, LCC</t>
  </si>
  <si>
    <t>Susan deleted GovDoc internet files in EOS/OCLC (6/22)</t>
  </si>
  <si>
    <t>Disaster Preparedness Workshop (6/16) - Cynthia</t>
  </si>
  <si>
    <t>Stan &amp; Cynthia - 90 performance review</t>
  </si>
  <si>
    <t>Cynthia &amp; Susan - weeding evaluation of all VHS/Cassettes</t>
  </si>
  <si>
    <t>Books &amp;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</si>
</sst>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gray125">
        <f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6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Fill="1" applyBorder="1"/>
    <xf numFmtId="17" fontId="1" fillId="0" borderId="0" xfId="0" applyNumberFormat="1" applyFont="1"/>
    <xf numFmtId="3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4" fillId="2" borderId="0" xfId="0" applyFont="1" applyFill="1" applyAlignment="1">
      <alignment horizontal="center"/>
    </xf>
    <xf numFmtId="17" fontId="4" fillId="2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1" xfId="0" applyFont="1" applyBorder="1"/>
    <xf numFmtId="0" fontId="0" fillId="0" borderId="5" xfId="0" applyBorder="1"/>
    <xf numFmtId="0" fontId="5" fillId="0" borderId="1" xfId="0" applyFont="1" applyBorder="1"/>
    <xf numFmtId="0" fontId="0" fillId="3" borderId="5" xfId="0" applyFill="1" applyBorder="1"/>
    <xf numFmtId="0" fontId="0" fillId="4" borderId="5" xfId="0" applyFill="1" applyBorder="1"/>
    <xf numFmtId="0" fontId="0" fillId="5" borderId="5" xfId="0" applyFill="1" applyBorder="1"/>
    <xf numFmtId="0" fontId="0" fillId="6" borderId="5" xfId="0" applyFill="1" applyBorder="1"/>
    <xf numFmtId="49" fontId="0" fillId="0" borderId="8" xfId="0" applyNumberFormat="1" applyBorder="1"/>
    <xf numFmtId="49" fontId="0" fillId="0" borderId="8" xfId="0" applyNumberForma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9" fontId="0" fillId="0" borderId="7" xfId="0" applyNumberFormat="1" applyBorder="1"/>
    <xf numFmtId="49" fontId="0" fillId="0" borderId="0" xfId="0" applyNumberFormat="1" applyBorder="1"/>
    <xf numFmtId="49" fontId="0" fillId="0" borderId="0" xfId="0" applyNumberForma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49" fontId="0" fillId="0" borderId="10" xfId="0" applyNumberFormat="1" applyBorder="1"/>
    <xf numFmtId="49" fontId="0" fillId="0" borderId="11" xfId="0" applyNumberFormat="1" applyBorder="1"/>
    <xf numFmtId="49" fontId="1" fillId="0" borderId="6" xfId="0" applyNumberFormat="1" applyFont="1" applyBorder="1"/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0" xfId="0" applyNumberFormat="1" applyFont="1" applyBorder="1"/>
    <xf numFmtId="0" fontId="0" fillId="0" borderId="0" xfId="0" applyBorder="1"/>
    <xf numFmtId="0" fontId="0" fillId="7" borderId="5" xfId="0" applyFill="1" applyBorder="1"/>
    <xf numFmtId="0" fontId="0" fillId="0" borderId="9" xfId="0" applyBorder="1"/>
    <xf numFmtId="0" fontId="2" fillId="0" borderId="5" xfId="0" applyFont="1" applyBorder="1"/>
    <xf numFmtId="0" fontId="0" fillId="0" borderId="8" xfId="0" applyBorder="1"/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2" fillId="0" borderId="12" xfId="0" applyFont="1" applyBorder="1"/>
    <xf numFmtId="0" fontId="0" fillId="0" borderId="11" xfId="0" applyBorder="1"/>
    <xf numFmtId="0" fontId="0" fillId="0" borderId="13" xfId="0" applyBorder="1"/>
    <xf numFmtId="0" fontId="0" fillId="0" borderId="6" xfId="0" applyBorder="1"/>
    <xf numFmtId="0" fontId="0" fillId="0" borderId="12" xfId="0" applyBorder="1"/>
    <xf numFmtId="0" fontId="2" fillId="0" borderId="1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4" fillId="2" borderId="0" xfId="0" applyFont="1" applyFill="1"/>
    <xf numFmtId="0" fontId="4" fillId="8" borderId="0" xfId="0" applyFont="1" applyFill="1"/>
    <xf numFmtId="17" fontId="4" fillId="8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2" fillId="0" borderId="9" xfId="0" applyNumberFormat="1" applyFont="1" applyBorder="1"/>
    <xf numFmtId="0" fontId="2" fillId="0" borderId="0" xfId="0" applyFont="1" applyBorder="1"/>
    <xf numFmtId="0" fontId="1" fillId="0" borderId="6" xfId="0" applyFont="1" applyBorder="1"/>
    <xf numFmtId="0" fontId="0" fillId="0" borderId="14" xfId="0" applyBorder="1"/>
    <xf numFmtId="0" fontId="1" fillId="0" borderId="0" xfId="0" applyFont="1" applyBorder="1"/>
    <xf numFmtId="0" fontId="0" fillId="0" borderId="10" xfId="0" applyFill="1" applyBorder="1"/>
    <xf numFmtId="0" fontId="0" fillId="0" borderId="11" xfId="0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/>
    <xf numFmtId="3" fontId="0" fillId="0" borderId="8" xfId="0" applyNumberFormat="1" applyBorder="1"/>
    <xf numFmtId="0" fontId="2" fillId="0" borderId="11" xfId="0" applyFont="1" applyBorder="1"/>
    <xf numFmtId="3" fontId="0" fillId="0" borderId="11" xfId="0" applyNumberFormat="1" applyBorder="1"/>
    <xf numFmtId="0" fontId="1" fillId="0" borderId="12" xfId="0" applyFont="1" applyBorder="1"/>
    <xf numFmtId="0" fontId="2" fillId="0" borderId="8" xfId="0" applyFont="1" applyBorder="1"/>
    <xf numFmtId="0" fontId="1" fillId="0" borderId="9" xfId="0" applyFont="1" applyBorder="1"/>
    <xf numFmtId="0" fontId="0" fillId="0" borderId="0" xfId="0" applyFont="1" applyFill="1" applyBorder="1"/>
    <xf numFmtId="0" fontId="1" fillId="0" borderId="7" xfId="0" applyFont="1" applyBorder="1"/>
    <xf numFmtId="0" fontId="1" fillId="0" borderId="10" xfId="0" applyFont="1" applyBorder="1"/>
    <xf numFmtId="0" fontId="2" fillId="0" borderId="7" xfId="0" applyFont="1" applyBorder="1"/>
    <xf numFmtId="0" fontId="2" fillId="0" borderId="13" xfId="0" applyFont="1" applyBorder="1"/>
    <xf numFmtId="0" fontId="0" fillId="2" borderId="6" xfId="0" applyFill="1" applyBorder="1"/>
    <xf numFmtId="0" fontId="0" fillId="2" borderId="8" xfId="0" applyFill="1" applyBorder="1"/>
    <xf numFmtId="0" fontId="0" fillId="2" borderId="7" xfId="0" applyFill="1" applyBorder="1"/>
    <xf numFmtId="0" fontId="0" fillId="0" borderId="15" xfId="0" applyBorder="1"/>
    <xf numFmtId="0" fontId="3" fillId="0" borderId="0" xfId="0" applyFont="1" applyBorder="1"/>
    <xf numFmtId="49" fontId="2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left"/>
    </xf>
    <xf numFmtId="164" fontId="0" fillId="0" borderId="3" xfId="0" applyNumberFormat="1" applyBorder="1"/>
    <xf numFmtId="49" fontId="2" fillId="0" borderId="9" xfId="0" applyNumberFormat="1" applyFont="1" applyFill="1" applyBorder="1"/>
    <xf numFmtId="49" fontId="2" fillId="0" borderId="0" xfId="0" applyNumberFormat="1" applyFont="1" applyBorder="1"/>
    <xf numFmtId="49" fontId="0" fillId="0" borderId="11" xfId="0" applyNumberFormat="1" applyBorder="1" applyAlignment="1">
      <alignment horizontal="left"/>
    </xf>
    <xf numFmtId="49" fontId="2" fillId="0" borderId="11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0" fillId="6" borderId="0" xfId="0" applyFill="1" applyBorder="1"/>
    <xf numFmtId="0" fontId="2" fillId="0" borderId="0" xfId="0" applyFont="1" applyFill="1" applyBorder="1"/>
    <xf numFmtId="0" fontId="0" fillId="0" borderId="13" xfId="0" applyFill="1" applyBorder="1"/>
    <xf numFmtId="0" fontId="2" fillId="6" borderId="6" xfId="0" applyFont="1" applyFill="1" applyBorder="1"/>
    <xf numFmtId="0" fontId="0" fillId="6" borderId="8" xfId="0" applyFill="1" applyBorder="1"/>
    <xf numFmtId="0" fontId="0" fillId="6" borderId="11" xfId="0" applyFill="1" applyBorder="1"/>
    <xf numFmtId="0" fontId="0" fillId="6" borderId="13" xfId="0" applyFill="1" applyBorder="1"/>
    <xf numFmtId="0" fontId="2" fillId="6" borderId="8" xfId="0" applyFont="1" applyFill="1" applyBorder="1"/>
    <xf numFmtId="0" fontId="1" fillId="0" borderId="0" xfId="0" applyFont="1" applyFill="1" applyBorder="1"/>
    <xf numFmtId="0" fontId="2" fillId="0" borderId="6" xfId="0" applyFont="1" applyBorder="1"/>
    <xf numFmtId="0" fontId="0" fillId="6" borderId="7" xfId="0" applyFill="1" applyBorder="1"/>
    <xf numFmtId="0" fontId="2" fillId="0" borderId="9" xfId="0" applyFont="1" applyFill="1" applyBorder="1"/>
    <xf numFmtId="0" fontId="0" fillId="6" borderId="10" xfId="0" applyFill="1" applyBorder="1"/>
    <xf numFmtId="0" fontId="2" fillId="0" borderId="12" xfId="0" applyFont="1" applyFill="1" applyBorder="1"/>
    <xf numFmtId="0" fontId="2" fillId="0" borderId="8" xfId="0" applyFont="1" applyFill="1" applyBorder="1"/>
    <xf numFmtId="0" fontId="0" fillId="0" borderId="8" xfId="0" applyFill="1" applyBorder="1"/>
    <xf numFmtId="0" fontId="0" fillId="3" borderId="10" xfId="0" applyFill="1" applyBorder="1"/>
    <xf numFmtId="0" fontId="1" fillId="0" borderId="9" xfId="0" applyFont="1" applyFill="1" applyBorder="1"/>
    <xf numFmtId="0" fontId="2" fillId="6" borderId="12" xfId="0" applyFont="1" applyFill="1" applyBorder="1"/>
    <xf numFmtId="0" fontId="1" fillId="6" borderId="8" xfId="0" applyFont="1" applyFill="1" applyBorder="1"/>
    <xf numFmtId="0" fontId="1" fillId="6" borderId="7" xfId="0" applyFont="1" applyFill="1" applyBorder="1"/>
    <xf numFmtId="49" fontId="0" fillId="0" borderId="13" xfId="0" applyNumberFormat="1" applyBorder="1"/>
    <xf numFmtId="0" fontId="2" fillId="0" borderId="2" xfId="0" applyFont="1" applyBorder="1"/>
    <xf numFmtId="0" fontId="2" fillId="4" borderId="5" xfId="0" applyFont="1" applyFill="1" applyBorder="1"/>
    <xf numFmtId="49" fontId="2" fillId="0" borderId="11" xfId="0" applyNumberFormat="1" applyFont="1" applyBorder="1"/>
    <xf numFmtId="49" fontId="2" fillId="0" borderId="0" xfId="0" applyNumberFormat="1" applyFont="1" applyFill="1" applyBorder="1"/>
    <xf numFmtId="49" fontId="0" fillId="0" borderId="10" xfId="0" applyNumberFormat="1" applyBorder="1" applyAlignment="1">
      <alignment horizontal="left"/>
    </xf>
    <xf numFmtId="49" fontId="2" fillId="0" borderId="10" xfId="0" applyNumberFormat="1" applyFont="1" applyBorder="1"/>
    <xf numFmtId="0" fontId="2" fillId="0" borderId="4" xfId="0" applyFont="1" applyFill="1" applyBorder="1"/>
    <xf numFmtId="0" fontId="0" fillId="0" borderId="1" xfId="0" applyFill="1" applyBorder="1"/>
    <xf numFmtId="0" fontId="0" fillId="0" borderId="16" xfId="0" applyFill="1" applyBorder="1"/>
    <xf numFmtId="0" fontId="2" fillId="4" borderId="11" xfId="0" applyFont="1" applyFill="1" applyBorder="1"/>
    <xf numFmtId="0" fontId="0" fillId="4" borderId="11" xfId="0" applyFill="1" applyBorder="1"/>
    <xf numFmtId="0" fontId="2" fillId="4" borderId="0" xfId="0" applyFont="1" applyFill="1" applyBorder="1"/>
    <xf numFmtId="0" fontId="0" fillId="4" borderId="0" xfId="0" applyFill="1" applyBorder="1"/>
    <xf numFmtId="3" fontId="0" fillId="0" borderId="0" xfId="0" applyNumberFormat="1" applyBorder="1"/>
    <xf numFmtId="49" fontId="2" fillId="0" borderId="12" xfId="0" applyNumberFormat="1" applyFont="1" applyBorder="1"/>
    <xf numFmtId="49" fontId="4" fillId="0" borderId="11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2" fillId="6" borderId="5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1" applyNumberFormat="1" applyFont="1" applyBorder="1"/>
    <xf numFmtId="0" fontId="0" fillId="0" borderId="1" xfId="1" applyNumberFormat="1" applyFont="1" applyBorder="1"/>
    <xf numFmtId="0" fontId="0" fillId="0" borderId="8" xfId="1" applyNumberFormat="1" applyFont="1" applyBorder="1"/>
    <xf numFmtId="0" fontId="0" fillId="0" borderId="11" xfId="1" applyNumberFormat="1" applyFont="1" applyBorder="1"/>
    <xf numFmtId="0" fontId="0" fillId="0" borderId="10" xfId="1" applyNumberFormat="1" applyFont="1" applyBorder="1"/>
    <xf numFmtId="0" fontId="0" fillId="0" borderId="13" xfId="1" applyNumberFormat="1" applyFont="1" applyBorder="1"/>
    <xf numFmtId="0" fontId="0" fillId="3" borderId="2" xfId="0" applyFill="1" applyBorder="1"/>
    <xf numFmtId="0" fontId="0" fillId="0" borderId="2" xfId="0" applyBorder="1"/>
    <xf numFmtId="0" fontId="0" fillId="6" borderId="2" xfId="0" applyFill="1" applyBorder="1"/>
    <xf numFmtId="0" fontId="0" fillId="7" borderId="2" xfId="0" applyFill="1" applyBorder="1"/>
    <xf numFmtId="0" fontId="0" fillId="5" borderId="2" xfId="0" applyFill="1" applyBorder="1"/>
    <xf numFmtId="0" fontId="0" fillId="4" borderId="2" xfId="0" applyFill="1" applyBorder="1"/>
    <xf numFmtId="0" fontId="0" fillId="0" borderId="7" xfId="1" applyNumberFormat="1" applyFont="1" applyBorder="1"/>
    <xf numFmtId="49" fontId="1" fillId="0" borderId="9" xfId="0" applyNumberFormat="1" applyFont="1" applyFill="1" applyBorder="1" applyAlignment="1">
      <alignment horizontal="left"/>
    </xf>
    <xf numFmtId="0" fontId="0" fillId="0" borderId="14" xfId="0" applyFill="1" applyBorder="1"/>
    <xf numFmtId="0" fontId="0" fillId="0" borderId="17" xfId="0" applyFill="1" applyBorder="1"/>
    <xf numFmtId="164" fontId="0" fillId="0" borderId="4" xfId="0" applyNumberFormat="1" applyBorder="1"/>
    <xf numFmtId="0" fontId="1" fillId="0" borderId="15" xfId="0" applyFont="1" applyBorder="1"/>
    <xf numFmtId="3" fontId="0" fillId="0" borderId="7" xfId="0" applyNumberFormat="1" applyBorder="1"/>
    <xf numFmtId="3" fontId="0" fillId="0" borderId="10" xfId="0" applyNumberFormat="1" applyBorder="1"/>
    <xf numFmtId="3" fontId="0" fillId="0" borderId="13" xfId="0" applyNumberFormat="1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5" fillId="0" borderId="14" xfId="0" applyFont="1" applyBorder="1"/>
    <xf numFmtId="49" fontId="2" fillId="0" borderId="9" xfId="0" applyNumberFormat="1" applyFont="1" applyBorder="1" applyAlignment="1">
      <alignment horizontal="left" indent="1"/>
    </xf>
    <xf numFmtId="49" fontId="2" fillId="0" borderId="9" xfId="0" applyNumberFormat="1" applyFont="1" applyFill="1" applyBorder="1" applyAlignment="1">
      <alignment horizontal="left" indent="1"/>
    </xf>
    <xf numFmtId="49" fontId="2" fillId="0" borderId="0" xfId="0" applyNumberFormat="1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1" fillId="0" borderId="4" xfId="0" applyFont="1" applyBorder="1"/>
    <xf numFmtId="0" fontId="0" fillId="0" borderId="3" xfId="0" applyFill="1" applyBorder="1"/>
    <xf numFmtId="0" fontId="0" fillId="0" borderId="4" xfId="0" applyFill="1" applyBorder="1"/>
    <xf numFmtId="49" fontId="2" fillId="0" borderId="0" xfId="0" applyNumberFormat="1" applyFon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1"/>
    </xf>
    <xf numFmtId="0" fontId="0" fillId="0" borderId="9" xfId="0" applyBorder="1" applyAlignment="1">
      <alignment horizontal="left" indent="1"/>
    </xf>
    <xf numFmtId="49" fontId="2" fillId="0" borderId="12" xfId="0" applyNumberFormat="1" applyFont="1" applyBorder="1" applyAlignment="1">
      <alignment horizontal="left" indent="1"/>
    </xf>
    <xf numFmtId="0" fontId="0" fillId="0" borderId="0" xfId="0" applyNumberFormat="1" applyBorder="1"/>
    <xf numFmtId="0" fontId="7" fillId="0" borderId="0" xfId="0" applyFont="1"/>
    <xf numFmtId="0" fontId="5" fillId="0" borderId="0" xfId="0" applyFont="1"/>
    <xf numFmtId="3" fontId="0" fillId="0" borderId="14" xfId="0" applyNumberFormat="1" applyBorder="1"/>
    <xf numFmtId="0" fontId="0" fillId="0" borderId="3" xfId="1" applyNumberFormat="1" applyFont="1" applyBorder="1"/>
    <xf numFmtId="0" fontId="2" fillId="0" borderId="14" xfId="0" applyFont="1" applyBorder="1"/>
    <xf numFmtId="0" fontId="2" fillId="0" borderId="0" xfId="1" applyNumberFormat="1" applyFont="1" applyBorder="1" applyAlignment="1">
      <alignment horizontal="right"/>
    </xf>
    <xf numFmtId="0" fontId="0" fillId="0" borderId="0" xfId="1" applyNumberFormat="1" applyFont="1" applyBorder="1" applyAlignment="1">
      <alignment horizontal="right"/>
    </xf>
    <xf numFmtId="0" fontId="2" fillId="0" borderId="1" xfId="1" applyNumberFormat="1" applyFont="1" applyBorder="1" applyAlignment="1">
      <alignment horizontal="right"/>
    </xf>
    <xf numFmtId="0" fontId="1" fillId="9" borderId="2" xfId="0" applyFont="1" applyFill="1" applyBorder="1"/>
    <xf numFmtId="0" fontId="4" fillId="9" borderId="0" xfId="0" applyFont="1" applyFill="1"/>
    <xf numFmtId="0" fontId="4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17" fontId="4" fillId="9" borderId="0" xfId="0" applyNumberFormat="1" applyFont="1" applyFill="1" applyAlignment="1">
      <alignment horizontal="center"/>
    </xf>
    <xf numFmtId="0" fontId="1" fillId="9" borderId="6" xfId="0" applyFont="1" applyFill="1" applyBorder="1"/>
    <xf numFmtId="0" fontId="1" fillId="9" borderId="8" xfId="0" applyFont="1" applyFill="1" applyBorder="1"/>
    <xf numFmtId="0" fontId="1" fillId="9" borderId="3" xfId="0" applyFont="1" applyFill="1" applyBorder="1"/>
    <xf numFmtId="0" fontId="2" fillId="9" borderId="3" xfId="0" applyFont="1" applyFill="1" applyBorder="1"/>
    <xf numFmtId="0" fontId="1" fillId="9" borderId="12" xfId="0" applyFont="1" applyFill="1" applyBorder="1"/>
    <xf numFmtId="0" fontId="1" fillId="9" borderId="11" xfId="0" applyFont="1" applyFill="1" applyBorder="1"/>
    <xf numFmtId="0" fontId="0" fillId="9" borderId="8" xfId="0" applyFill="1" applyBorder="1"/>
    <xf numFmtId="0" fontId="2" fillId="9" borderId="8" xfId="0" applyFont="1" applyFill="1" applyBorder="1"/>
    <xf numFmtId="0" fontId="0" fillId="9" borderId="7" xfId="0" applyFill="1" applyBorder="1"/>
    <xf numFmtId="0" fontId="1" fillId="9" borderId="7" xfId="0" applyFont="1" applyFill="1" applyBorder="1"/>
    <xf numFmtId="0" fontId="0" fillId="9" borderId="0" xfId="0" applyFill="1"/>
    <xf numFmtId="0" fontId="0" fillId="10" borderId="0" xfId="0" applyFill="1" applyBorder="1"/>
    <xf numFmtId="0" fontId="0" fillId="9" borderId="4" xfId="0" applyFill="1" applyBorder="1"/>
    <xf numFmtId="0" fontId="1" fillId="9" borderId="0" xfId="0" applyFont="1" applyFill="1"/>
    <xf numFmtId="0" fontId="1" fillId="9" borderId="0" xfId="0" applyFont="1" applyFill="1" applyBorder="1"/>
    <xf numFmtId="0" fontId="0" fillId="9" borderId="0" xfId="0" applyFill="1" applyBorder="1"/>
    <xf numFmtId="0" fontId="0" fillId="9" borderId="11" xfId="0" applyFill="1" applyBorder="1"/>
    <xf numFmtId="0" fontId="1" fillId="9" borderId="9" xfId="0" applyFont="1" applyFill="1" applyBorder="1"/>
    <xf numFmtId="0" fontId="0" fillId="9" borderId="2" xfId="0" applyFill="1" applyBorder="1"/>
    <xf numFmtId="0" fontId="1" fillId="9" borderId="4" xfId="0" applyFont="1" applyFill="1" applyBorder="1"/>
    <xf numFmtId="0" fontId="2" fillId="9" borderId="4" xfId="0" applyFont="1" applyFill="1" applyBorder="1"/>
    <xf numFmtId="0" fontId="0" fillId="9" borderId="6" xfId="0" applyFill="1" applyBorder="1"/>
    <xf numFmtId="0" fontId="2" fillId="0" borderId="1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indent="2"/>
    </xf>
    <xf numFmtId="0" fontId="0" fillId="0" borderId="0" xfId="0" applyBorder="1" applyAlignment="1">
      <alignment horizontal="center"/>
    </xf>
    <xf numFmtId="0" fontId="1" fillId="10" borderId="4" xfId="0" applyFont="1" applyFill="1" applyBorder="1"/>
    <xf numFmtId="0" fontId="1" fillId="10" borderId="0" xfId="0" applyFont="1" applyFill="1"/>
    <xf numFmtId="0" fontId="0" fillId="10" borderId="0" xfId="0" applyFill="1"/>
    <xf numFmtId="0" fontId="1" fillId="9" borderId="18" xfId="0" applyFont="1" applyFill="1" applyBorder="1"/>
    <xf numFmtId="49" fontId="2" fillId="10" borderId="0" xfId="0" applyNumberFormat="1" applyFont="1" applyFill="1" applyBorder="1"/>
    <xf numFmtId="49" fontId="0" fillId="10" borderId="0" xfId="0" applyNumberFormat="1" applyFill="1" applyBorder="1" applyAlignment="1">
      <alignment horizontal="center"/>
    </xf>
    <xf numFmtId="49" fontId="2" fillId="10" borderId="0" xfId="0" applyNumberFormat="1" applyFont="1" applyFill="1" applyBorder="1" applyAlignment="1">
      <alignment horizontal="left"/>
    </xf>
    <xf numFmtId="49" fontId="0" fillId="10" borderId="0" xfId="0" applyNumberFormat="1" applyFill="1" applyBorder="1" applyAlignment="1">
      <alignment horizontal="left"/>
    </xf>
    <xf numFmtId="49" fontId="0" fillId="10" borderId="0" xfId="0" applyNumberFormat="1" applyFill="1" applyBorder="1"/>
    <xf numFmtId="0" fontId="4" fillId="10" borderId="0" xfId="0" applyFont="1" applyFill="1" applyBorder="1"/>
    <xf numFmtId="0" fontId="4" fillId="10" borderId="0" xfId="0" applyFont="1" applyFill="1" applyBorder="1" applyAlignment="1">
      <alignment horizontal="center"/>
    </xf>
    <xf numFmtId="17" fontId="4" fillId="10" borderId="0" xfId="0" applyNumberFormat="1" applyFont="1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1" fillId="10" borderId="0" xfId="0" applyFont="1" applyFill="1" applyBorder="1"/>
    <xf numFmtId="0" fontId="2" fillId="10" borderId="0" xfId="0" applyFont="1" applyFill="1" applyBorder="1"/>
    <xf numFmtId="0" fontId="0" fillId="10" borderId="0" xfId="0" applyFont="1" applyFill="1" applyBorder="1"/>
    <xf numFmtId="3" fontId="0" fillId="10" borderId="0" xfId="0" applyNumberFormat="1" applyFill="1" applyBorder="1"/>
    <xf numFmtId="17" fontId="1" fillId="10" borderId="0" xfId="0" applyNumberFormat="1" applyFont="1" applyFill="1" applyBorder="1"/>
    <xf numFmtId="0" fontId="0" fillId="0" borderId="16" xfId="0" applyBorder="1"/>
    <xf numFmtId="0" fontId="2" fillId="0" borderId="0" xfId="0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6" borderId="2" xfId="0" applyFont="1" applyFill="1" applyBorder="1"/>
    <xf numFmtId="0" fontId="2" fillId="4" borderId="2" xfId="0" applyFont="1" applyFill="1" applyBorder="1"/>
    <xf numFmtId="0" fontId="0" fillId="3" borderId="9" xfId="0" applyFill="1" applyBorder="1"/>
    <xf numFmtId="0" fontId="0" fillId="6" borderId="9" xfId="0" applyFill="1" applyBorder="1"/>
    <xf numFmtId="0" fontId="0" fillId="7" borderId="9" xfId="0" applyFill="1" applyBorder="1"/>
    <xf numFmtId="0" fontId="0" fillId="4" borderId="9" xfId="0" applyFill="1" applyBorder="1"/>
    <xf numFmtId="0" fontId="0" fillId="5" borderId="9" xfId="0" applyFill="1" applyBorder="1"/>
    <xf numFmtId="0" fontId="0" fillId="6" borderId="5" xfId="0" applyFill="1" applyBorder="1" applyAlignment="1">
      <alignment horizontal="left" indent="1"/>
    </xf>
    <xf numFmtId="0" fontId="0" fillId="6" borderId="5" xfId="0" applyFill="1" applyBorder="1" applyAlignment="1">
      <alignment horizontal="right"/>
    </xf>
    <xf numFmtId="0" fontId="0" fillId="0" borderId="2" xfId="1" applyNumberFormat="1" applyFont="1" applyBorder="1"/>
    <xf numFmtId="0" fontId="0" fillId="0" borderId="9" xfId="1" applyNumberFormat="1" applyFont="1" applyBorder="1"/>
    <xf numFmtId="0" fontId="2" fillId="7" borderId="5" xfId="0" applyFont="1" applyFill="1" applyBorder="1"/>
    <xf numFmtId="0" fontId="1" fillId="0" borderId="0" xfId="0" applyFont="1" applyAlignme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2" fillId="0" borderId="11" xfId="0" applyFont="1" applyBorder="1" applyAlignment="1">
      <alignment horizontal="left" indent="1"/>
    </xf>
    <xf numFmtId="164" fontId="0" fillId="0" borderId="0" xfId="0" applyNumberFormat="1"/>
    <xf numFmtId="165" fontId="0" fillId="0" borderId="8" xfId="2" applyNumberFormat="1" applyFont="1" applyBorder="1"/>
    <xf numFmtId="0" fontId="2" fillId="10" borderId="12" xfId="0" applyFont="1" applyFill="1" applyBorder="1"/>
    <xf numFmtId="0" fontId="1" fillId="9" borderId="5" xfId="0" applyFont="1" applyFill="1" applyBorder="1"/>
    <xf numFmtId="0" fontId="0" fillId="0" borderId="19" xfId="0" applyBorder="1"/>
    <xf numFmtId="49" fontId="2" fillId="0" borderId="9" xfId="0" applyNumberFormat="1" applyFont="1" applyBorder="1" applyAlignment="1">
      <alignment horizontal="left" indent="2"/>
    </xf>
    <xf numFmtId="0" fontId="0" fillId="0" borderId="20" xfId="0" applyBorder="1"/>
    <xf numFmtId="0" fontId="9" fillId="0" borderId="9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indent="1"/>
    </xf>
    <xf numFmtId="0" fontId="0" fillId="9" borderId="3" xfId="0" applyFill="1" applyBorder="1"/>
    <xf numFmtId="0" fontId="0" fillId="0" borderId="0" xfId="0" applyFont="1" applyFill="1" applyBorder="1" applyAlignment="1">
      <alignment horizontal="right"/>
    </xf>
    <xf numFmtId="49" fontId="2" fillId="0" borderId="9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0" fillId="0" borderId="0" xfId="0" applyAlignment="1">
      <alignment horizontal="left" indent="2"/>
    </xf>
    <xf numFmtId="0" fontId="1" fillId="0" borderId="0" xfId="0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0" fillId="0" borderId="0" xfId="0" applyBorder="1" applyAlignment="1">
      <alignment horizontal="left" indent="2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0"/>
  <sheetViews>
    <sheetView topLeftCell="A100" workbookViewId="0">
      <selection activeCell="O39" sqref="O3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82" t="s">
        <v>104</v>
      </c>
      <c r="F1" s="182"/>
      <c r="G1" s="183"/>
      <c r="H1" s="183"/>
      <c r="I1" s="183"/>
      <c r="J1" s="185"/>
    </row>
    <row r="2" spans="1:18" ht="18" x14ac:dyDescent="0.25">
      <c r="F2" s="184"/>
      <c r="G2" s="185">
        <v>42186</v>
      </c>
      <c r="H2" s="183"/>
      <c r="I2" s="183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5" t="s">
        <v>14</v>
      </c>
    </row>
    <row r="7" spans="1:18" x14ac:dyDescent="0.2">
      <c r="A7" s="38"/>
      <c r="B7" s="36" t="s">
        <v>16</v>
      </c>
      <c r="C7" s="36">
        <v>34</v>
      </c>
      <c r="D7" s="36">
        <v>0</v>
      </c>
      <c r="E7" s="36">
        <v>77</v>
      </c>
      <c r="F7" s="72">
        <v>167</v>
      </c>
      <c r="G7" s="72">
        <v>80</v>
      </c>
      <c r="H7" s="72">
        <v>0</v>
      </c>
      <c r="I7" s="72">
        <v>0</v>
      </c>
      <c r="J7" s="72">
        <v>73</v>
      </c>
      <c r="K7" s="72">
        <v>19</v>
      </c>
      <c r="L7" s="4"/>
      <c r="M7" s="61">
        <f>SUM(C7:L7)</f>
        <v>450</v>
      </c>
    </row>
    <row r="8" spans="1:18" x14ac:dyDescent="0.2">
      <c r="A8" s="38"/>
      <c r="B8" s="57" t="s">
        <v>156</v>
      </c>
      <c r="C8" s="36">
        <v>10</v>
      </c>
      <c r="D8" s="36">
        <v>0</v>
      </c>
      <c r="E8" s="36">
        <v>4</v>
      </c>
      <c r="F8" s="72">
        <v>12</v>
      </c>
      <c r="G8" s="72">
        <v>6</v>
      </c>
      <c r="H8" s="72">
        <v>0</v>
      </c>
      <c r="I8" s="72">
        <v>0</v>
      </c>
      <c r="J8" s="72">
        <v>5</v>
      </c>
      <c r="K8" s="72">
        <v>0</v>
      </c>
      <c r="L8" s="72">
        <v>15</v>
      </c>
      <c r="M8" s="61">
        <f>SUM(C8:L8)</f>
        <v>52</v>
      </c>
    </row>
    <row r="9" spans="1:18" ht="13.5" thickBot="1" x14ac:dyDescent="0.25">
      <c r="A9" s="38"/>
      <c r="B9" s="57" t="s">
        <v>157</v>
      </c>
      <c r="C9" s="3">
        <v>6</v>
      </c>
      <c r="D9" s="3">
        <v>0</v>
      </c>
      <c r="E9" s="3">
        <v>1</v>
      </c>
      <c r="F9" s="3">
        <v>61</v>
      </c>
      <c r="G9" s="3">
        <v>9</v>
      </c>
      <c r="H9" s="3">
        <v>0</v>
      </c>
      <c r="I9" s="3">
        <v>0</v>
      </c>
      <c r="J9" s="3">
        <v>16</v>
      </c>
      <c r="K9" s="3">
        <v>2</v>
      </c>
      <c r="L9" s="3"/>
      <c r="M9" s="59">
        <f>SUM(C9:K9)</f>
        <v>95</v>
      </c>
    </row>
    <row r="10" spans="1:18" ht="13.5" thickTop="1" x14ac:dyDescent="0.2">
      <c r="A10" s="48"/>
      <c r="B10" s="65" t="s">
        <v>14</v>
      </c>
      <c r="C10" s="45">
        <f>SUM(C7:C9)</f>
        <v>50</v>
      </c>
      <c r="D10" s="45">
        <f t="shared" ref="D10:M10" si="0">SUM(D7:D9)</f>
        <v>0</v>
      </c>
      <c r="E10" s="45">
        <f t="shared" si="0"/>
        <v>82</v>
      </c>
      <c r="F10" s="45">
        <f t="shared" si="0"/>
        <v>240</v>
      </c>
      <c r="G10" s="45">
        <f t="shared" si="0"/>
        <v>95</v>
      </c>
      <c r="H10" s="45">
        <f t="shared" si="0"/>
        <v>0</v>
      </c>
      <c r="I10" s="45">
        <f t="shared" si="0"/>
        <v>0</v>
      </c>
      <c r="J10" s="45">
        <f t="shared" si="0"/>
        <v>94</v>
      </c>
      <c r="K10" s="45">
        <f t="shared" si="0"/>
        <v>21</v>
      </c>
      <c r="L10" s="45">
        <f t="shared" si="0"/>
        <v>15</v>
      </c>
      <c r="M10" s="45">
        <f t="shared" si="0"/>
        <v>597</v>
      </c>
    </row>
    <row r="11" spans="1:18" x14ac:dyDescent="0.2">
      <c r="B11" s="1"/>
      <c r="D11" s="2"/>
    </row>
    <row r="12" spans="1:18" x14ac:dyDescent="0.2">
      <c r="A12" s="181" t="s">
        <v>52</v>
      </c>
      <c r="B12" s="188"/>
      <c r="C12" s="157">
        <v>3238</v>
      </c>
      <c r="D12" s="158">
        <v>81</v>
      </c>
      <c r="E12" s="157">
        <v>28845</v>
      </c>
      <c r="F12" s="158">
        <v>11731</v>
      </c>
      <c r="G12" s="158">
        <v>9423</v>
      </c>
      <c r="H12" s="158">
        <v>108</v>
      </c>
      <c r="I12" s="158">
        <v>62</v>
      </c>
      <c r="J12" s="158">
        <v>10946</v>
      </c>
      <c r="K12" s="158">
        <v>1916</v>
      </c>
      <c r="L12" s="158"/>
      <c r="M12" s="159">
        <f>SUM(C12:K12)</f>
        <v>66350</v>
      </c>
      <c r="N12" s="27"/>
    </row>
    <row r="13" spans="1:18" x14ac:dyDescent="0.2">
      <c r="A13" s="57" t="s">
        <v>122</v>
      </c>
      <c r="B13" s="60"/>
      <c r="C13" s="57"/>
      <c r="D13" s="36"/>
      <c r="E13" s="36"/>
      <c r="F13" s="128"/>
      <c r="G13" s="128"/>
      <c r="H13" s="128"/>
      <c r="I13" s="128"/>
      <c r="J13" s="128"/>
      <c r="K13" s="128"/>
      <c r="L13" s="128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58" t="s">
        <v>8</v>
      </c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54</v>
      </c>
      <c r="D19" s="36">
        <v>2</v>
      </c>
      <c r="E19" s="36">
        <v>162</v>
      </c>
      <c r="F19" s="4">
        <v>202</v>
      </c>
      <c r="G19" s="4">
        <v>132</v>
      </c>
      <c r="H19" s="4">
        <v>1</v>
      </c>
      <c r="I19" s="4">
        <v>4</v>
      </c>
      <c r="J19" s="4">
        <v>85</v>
      </c>
      <c r="K19" s="4">
        <v>58</v>
      </c>
      <c r="L19" s="43">
        <f>SUM(C19:K19)</f>
        <v>700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2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61">
        <f>SUM(C20:K20)</f>
        <v>9</v>
      </c>
    </row>
    <row r="21" spans="1:13" x14ac:dyDescent="0.2">
      <c r="A21" s="38"/>
      <c r="B21" s="36" t="s">
        <v>11</v>
      </c>
      <c r="C21" s="4">
        <v>2</v>
      </c>
      <c r="D21" s="4">
        <v>0</v>
      </c>
      <c r="E21" s="4">
        <v>17</v>
      </c>
      <c r="F21" s="4">
        <v>19</v>
      </c>
      <c r="G21" s="4">
        <v>23</v>
      </c>
      <c r="H21" s="4">
        <v>1</v>
      </c>
      <c r="I21" s="4">
        <v>0</v>
      </c>
      <c r="J21" s="4">
        <v>28</v>
      </c>
      <c r="K21" s="4">
        <v>2</v>
      </c>
      <c r="L21" s="61">
        <f>SUM(C21:K21)</f>
        <v>92</v>
      </c>
    </row>
    <row r="22" spans="1:13" x14ac:dyDescent="0.2">
      <c r="A22" s="38"/>
      <c r="B22" s="36" t="s">
        <v>10</v>
      </c>
      <c r="C22" s="4">
        <v>5</v>
      </c>
      <c r="D22" s="4">
        <v>3</v>
      </c>
      <c r="E22" s="4">
        <v>9</v>
      </c>
      <c r="F22" s="4">
        <v>54</v>
      </c>
      <c r="G22" s="4">
        <v>20</v>
      </c>
      <c r="H22" s="4">
        <v>1</v>
      </c>
      <c r="I22" s="4">
        <v>2</v>
      </c>
      <c r="J22" s="4">
        <v>29</v>
      </c>
      <c r="K22" s="4">
        <v>5</v>
      </c>
      <c r="L22" s="61">
        <f>SUM(C22:K22)</f>
        <v>128</v>
      </c>
    </row>
    <row r="23" spans="1:13" ht="13.5" thickBot="1" x14ac:dyDescent="0.25">
      <c r="A23" s="38"/>
      <c r="B23" s="36" t="s">
        <v>9</v>
      </c>
      <c r="C23" s="3">
        <v>145</v>
      </c>
      <c r="D23" s="3">
        <v>57</v>
      </c>
      <c r="E23" s="3">
        <v>439</v>
      </c>
      <c r="F23" s="3">
        <v>429</v>
      </c>
      <c r="G23" s="3">
        <v>211</v>
      </c>
      <c r="H23" s="3">
        <v>13</v>
      </c>
      <c r="I23" s="3">
        <v>13</v>
      </c>
      <c r="J23" s="3">
        <v>719</v>
      </c>
      <c r="K23" s="3">
        <v>213</v>
      </c>
      <c r="L23" s="59">
        <f>SUM(C23:K23)</f>
        <v>2239</v>
      </c>
    </row>
    <row r="24" spans="1:13" ht="13.5" thickTop="1" x14ac:dyDescent="0.2">
      <c r="A24" s="38"/>
      <c r="B24" s="60" t="s">
        <v>14</v>
      </c>
      <c r="C24" s="36">
        <f>SUM(C19:C23)</f>
        <v>207</v>
      </c>
      <c r="D24" s="36">
        <f t="shared" ref="D24:L24" si="1">SUM(D19:D23)</f>
        <v>62</v>
      </c>
      <c r="E24" s="36">
        <f t="shared" si="1"/>
        <v>629</v>
      </c>
      <c r="F24" s="36">
        <f t="shared" si="1"/>
        <v>704</v>
      </c>
      <c r="G24" s="36">
        <f t="shared" si="1"/>
        <v>387</v>
      </c>
      <c r="H24" s="36">
        <f t="shared" si="1"/>
        <v>16</v>
      </c>
      <c r="I24" s="36">
        <f t="shared" si="1"/>
        <v>19</v>
      </c>
      <c r="J24" s="36">
        <f t="shared" si="1"/>
        <v>861</v>
      </c>
      <c r="K24" s="36">
        <f t="shared" si="1"/>
        <v>283</v>
      </c>
      <c r="L24" s="43">
        <f t="shared" si="1"/>
        <v>3168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A26" s="38"/>
      <c r="B26" s="4"/>
      <c r="C26" s="36"/>
      <c r="D26" s="36"/>
      <c r="E26" s="36"/>
      <c r="F26" s="36"/>
      <c r="G26" s="36"/>
      <c r="H26" s="36"/>
      <c r="I26" s="36"/>
      <c r="J26" s="36"/>
      <c r="K26" s="36"/>
      <c r="L26" s="49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16.25</v>
      </c>
      <c r="D27" s="87">
        <v>0</v>
      </c>
      <c r="E27" s="87">
        <v>12.75</v>
      </c>
      <c r="F27" s="87">
        <v>31.75</v>
      </c>
      <c r="G27" s="87">
        <v>20.05</v>
      </c>
      <c r="H27" s="87">
        <v>0</v>
      </c>
      <c r="I27" s="87">
        <v>0</v>
      </c>
      <c r="J27" s="87">
        <v>82.5</v>
      </c>
      <c r="K27" s="87">
        <v>66</v>
      </c>
      <c r="L27" s="87">
        <v>0</v>
      </c>
      <c r="M27" s="152">
        <f>SUM(C27:L27)</f>
        <v>229.3</v>
      </c>
    </row>
    <row r="29" spans="1:13" x14ac:dyDescent="0.2">
      <c r="A29" s="186" t="s">
        <v>66</v>
      </c>
      <c r="B29" s="207"/>
      <c r="C29" s="192"/>
      <c r="D29" s="194"/>
      <c r="E29" s="40"/>
      <c r="F29" s="40"/>
      <c r="G29" s="40"/>
      <c r="H29" s="40"/>
      <c r="I29" s="40"/>
      <c r="J29" s="40"/>
      <c r="K29" s="40"/>
      <c r="L29" s="41"/>
    </row>
    <row r="30" spans="1:13" x14ac:dyDescent="0.2">
      <c r="B30" s="47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73" t="s">
        <v>14</v>
      </c>
    </row>
    <row r="31" spans="1:13" x14ac:dyDescent="0.2">
      <c r="B31" s="71" t="s">
        <v>17</v>
      </c>
      <c r="C31" s="36">
        <v>110</v>
      </c>
      <c r="D31" s="36">
        <v>23</v>
      </c>
      <c r="E31" s="36">
        <v>199</v>
      </c>
      <c r="F31" s="4">
        <v>202</v>
      </c>
      <c r="G31" s="4">
        <v>162</v>
      </c>
      <c r="H31" s="4">
        <v>207</v>
      </c>
      <c r="I31" s="4">
        <v>5</v>
      </c>
      <c r="J31" s="4">
        <v>195</v>
      </c>
      <c r="K31" s="4">
        <v>67</v>
      </c>
      <c r="L31" s="61">
        <f t="shared" ref="L31:L36" si="2">SUM(C31:K31)</f>
        <v>1170</v>
      </c>
    </row>
    <row r="32" spans="1:13" x14ac:dyDescent="0.2">
      <c r="B32" s="71" t="s">
        <v>18</v>
      </c>
      <c r="C32" s="36">
        <v>0</v>
      </c>
      <c r="D32" s="36">
        <v>0</v>
      </c>
      <c r="E32" s="36">
        <v>53</v>
      </c>
      <c r="F32" s="4">
        <v>55</v>
      </c>
      <c r="G32" s="4">
        <v>20</v>
      </c>
      <c r="H32" s="4">
        <v>0</v>
      </c>
      <c r="I32" s="4">
        <v>2</v>
      </c>
      <c r="J32" s="4">
        <v>13</v>
      </c>
      <c r="K32" s="4">
        <v>0</v>
      </c>
      <c r="L32" s="61">
        <f t="shared" si="2"/>
        <v>143</v>
      </c>
    </row>
    <row r="33" spans="1:12" x14ac:dyDescent="0.2">
      <c r="B33" s="71" t="s">
        <v>20</v>
      </c>
      <c r="C33" s="36">
        <v>172</v>
      </c>
      <c r="D33" s="36">
        <v>40</v>
      </c>
      <c r="E33" s="36">
        <v>863</v>
      </c>
      <c r="F33" s="36">
        <v>400</v>
      </c>
      <c r="G33" s="36">
        <v>328</v>
      </c>
      <c r="H33" s="4">
        <v>0</v>
      </c>
      <c r="I33" s="4">
        <v>0</v>
      </c>
      <c r="J33" s="36">
        <v>345</v>
      </c>
      <c r="K33" s="36">
        <v>0</v>
      </c>
      <c r="L33" s="61">
        <f t="shared" si="2"/>
        <v>2148</v>
      </c>
    </row>
    <row r="34" spans="1:12" x14ac:dyDescent="0.2">
      <c r="B34" s="71" t="s">
        <v>113</v>
      </c>
      <c r="C34" s="4">
        <f>14+63</f>
        <v>77</v>
      </c>
      <c r="D34" s="4">
        <v>8</v>
      </c>
      <c r="E34" s="4">
        <f>4+41</f>
        <v>45</v>
      </c>
      <c r="F34" s="4">
        <f>13+58</f>
        <v>71</v>
      </c>
      <c r="G34" s="4">
        <f>6+51</f>
        <v>57</v>
      </c>
      <c r="H34" s="4">
        <f>6+18</f>
        <v>24</v>
      </c>
      <c r="I34" s="4">
        <f>6+23</f>
        <v>29</v>
      </c>
      <c r="J34" s="4">
        <f>10+55</f>
        <v>65</v>
      </c>
      <c r="K34" s="4">
        <f>10+40</f>
        <v>50</v>
      </c>
      <c r="L34" s="61">
        <f t="shared" si="2"/>
        <v>426</v>
      </c>
    </row>
    <row r="35" spans="1:12" ht="13.5" thickBot="1" x14ac:dyDescent="0.25">
      <c r="B35" s="153" t="s">
        <v>19</v>
      </c>
      <c r="C35" s="3">
        <f t="shared" ref="C35:F35" si="3">C76</f>
        <v>48</v>
      </c>
      <c r="D35" s="3">
        <f t="shared" si="3"/>
        <v>5</v>
      </c>
      <c r="E35" s="3">
        <f t="shared" si="3"/>
        <v>124</v>
      </c>
      <c r="F35" s="3">
        <f t="shared" si="3"/>
        <v>100</v>
      </c>
      <c r="G35" s="3">
        <f>G76</f>
        <v>62</v>
      </c>
      <c r="H35" s="3">
        <f t="shared" ref="H35:I35" si="4">H76</f>
        <v>7</v>
      </c>
      <c r="I35" s="3">
        <f t="shared" si="4"/>
        <v>4</v>
      </c>
      <c r="J35" s="3">
        <f>J76</f>
        <v>130</v>
      </c>
      <c r="K35" s="3">
        <f>K76</f>
        <v>42</v>
      </c>
      <c r="L35" s="150">
        <f t="shared" si="2"/>
        <v>522</v>
      </c>
    </row>
    <row r="36" spans="1:12" ht="13.5" thickTop="1" x14ac:dyDescent="0.2">
      <c r="B36" s="69" t="s">
        <v>14</v>
      </c>
      <c r="C36" s="45">
        <f>SUM(C31:C35)</f>
        <v>407</v>
      </c>
      <c r="D36" s="45">
        <f t="shared" ref="D36:K36" si="5">SUM(D31:D35)</f>
        <v>76</v>
      </c>
      <c r="E36" s="45">
        <f t="shared" si="5"/>
        <v>1284</v>
      </c>
      <c r="F36" s="45">
        <f t="shared" si="5"/>
        <v>828</v>
      </c>
      <c r="G36" s="45">
        <f t="shared" si="5"/>
        <v>629</v>
      </c>
      <c r="H36" s="45">
        <f t="shared" si="5"/>
        <v>238</v>
      </c>
      <c r="I36" s="45">
        <f t="shared" si="5"/>
        <v>40</v>
      </c>
      <c r="J36" s="45">
        <f t="shared" si="5"/>
        <v>748</v>
      </c>
      <c r="K36" s="45">
        <f t="shared" si="5"/>
        <v>159</v>
      </c>
      <c r="L36" s="95">
        <f t="shared" si="2"/>
        <v>4409</v>
      </c>
    </row>
    <row r="38" spans="1:12" x14ac:dyDescent="0.2">
      <c r="A38" s="186" t="s">
        <v>57</v>
      </c>
      <c r="B38" s="187"/>
      <c r="C38" s="40">
        <v>5</v>
      </c>
      <c r="D38" s="40">
        <v>0</v>
      </c>
      <c r="E38" s="40">
        <v>6</v>
      </c>
      <c r="F38" s="66">
        <v>14</v>
      </c>
      <c r="G38" s="66">
        <v>19</v>
      </c>
      <c r="H38" s="66">
        <v>0</v>
      </c>
      <c r="I38" s="66">
        <v>0</v>
      </c>
      <c r="J38" s="66">
        <v>10</v>
      </c>
      <c r="K38" s="66">
        <v>0</v>
      </c>
      <c r="L38" s="154">
        <f>SUM(C38:K38)</f>
        <v>54</v>
      </c>
    </row>
    <row r="39" spans="1:12" ht="13.5" thickBot="1" x14ac:dyDescent="0.25">
      <c r="A39" s="71" t="s">
        <v>158</v>
      </c>
      <c r="B39" s="60"/>
      <c r="C39" s="3">
        <v>0</v>
      </c>
      <c r="D39" s="3">
        <v>8</v>
      </c>
      <c r="E39" s="3"/>
      <c r="F39" s="3">
        <v>18</v>
      </c>
      <c r="G39" s="3">
        <v>0</v>
      </c>
      <c r="H39" s="3">
        <v>0</v>
      </c>
      <c r="I39" s="3"/>
      <c r="J39" s="3">
        <v>56</v>
      </c>
      <c r="K39" s="3"/>
      <c r="L39" s="150">
        <f>SUM(C39:K39)</f>
        <v>82</v>
      </c>
    </row>
    <row r="40" spans="1:12" ht="13.5" thickTop="1" x14ac:dyDescent="0.2">
      <c r="A40" s="71"/>
      <c r="B40" s="60" t="s">
        <v>7</v>
      </c>
      <c r="C40" s="36">
        <f>SUM(C38:C39)</f>
        <v>5</v>
      </c>
      <c r="D40" s="36">
        <f t="shared" ref="D40:K40" si="6">SUM(D38:D39)</f>
        <v>8</v>
      </c>
      <c r="E40" s="36">
        <f t="shared" si="6"/>
        <v>6</v>
      </c>
      <c r="F40" s="36">
        <f t="shared" si="6"/>
        <v>32</v>
      </c>
      <c r="G40" s="36">
        <f t="shared" si="6"/>
        <v>19</v>
      </c>
      <c r="H40" s="36">
        <f t="shared" si="6"/>
        <v>0</v>
      </c>
      <c r="I40" s="36">
        <f t="shared" si="6"/>
        <v>0</v>
      </c>
      <c r="J40" s="36">
        <f t="shared" si="6"/>
        <v>66</v>
      </c>
      <c r="K40" s="36">
        <f t="shared" si="6"/>
        <v>0</v>
      </c>
      <c r="L40" s="155">
        <f>SUM(L38:L39)</f>
        <v>136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55"/>
    </row>
    <row r="42" spans="1:12" x14ac:dyDescent="0.2">
      <c r="A42" s="181" t="s">
        <v>56</v>
      </c>
      <c r="B42" s="188"/>
      <c r="C42" s="157">
        <v>0</v>
      </c>
      <c r="D42" s="157"/>
      <c r="E42" s="157"/>
      <c r="F42" s="158">
        <v>1</v>
      </c>
      <c r="G42" s="158"/>
      <c r="H42" s="158">
        <v>0</v>
      </c>
      <c r="I42" s="158"/>
      <c r="J42" s="158">
        <v>0</v>
      </c>
      <c r="K42" s="158"/>
      <c r="L42" s="159">
        <f>SUM(C42:K42)</f>
        <v>1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1">
        <f>SUM(C44:K44)</f>
        <v>0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6">
        <f>SUM(C45:K45)</f>
        <v>0</v>
      </c>
    </row>
    <row r="46" spans="1:12" x14ac:dyDescent="0.2">
      <c r="A46" s="38"/>
    </row>
    <row r="47" spans="1:12" x14ac:dyDescent="0.2">
      <c r="A47" s="186" t="s">
        <v>240</v>
      </c>
    </row>
    <row r="48" spans="1:12" x14ac:dyDescent="0.2">
      <c r="B48" s="63"/>
      <c r="C48" s="64" t="s">
        <v>3</v>
      </c>
      <c r="D48" s="64" t="s">
        <v>4</v>
      </c>
      <c r="E48" s="64" t="s">
        <v>0</v>
      </c>
      <c r="F48" s="64" t="s">
        <v>1</v>
      </c>
      <c r="G48" s="64" t="s">
        <v>2</v>
      </c>
      <c r="H48" s="64" t="s">
        <v>5</v>
      </c>
      <c r="I48" s="64" t="s">
        <v>6</v>
      </c>
      <c r="J48" s="64" t="s">
        <v>28</v>
      </c>
      <c r="K48" s="64" t="s">
        <v>40</v>
      </c>
      <c r="L48" s="165" t="s">
        <v>14</v>
      </c>
    </row>
    <row r="49" spans="2:12" x14ac:dyDescent="0.2">
      <c r="B49" s="143" t="s">
        <v>73</v>
      </c>
      <c r="C49" s="157">
        <v>3</v>
      </c>
      <c r="D49" s="157"/>
      <c r="E49" s="157">
        <v>9</v>
      </c>
      <c r="F49" s="166">
        <v>4</v>
      </c>
      <c r="G49" s="166">
        <v>6</v>
      </c>
      <c r="H49" s="166"/>
      <c r="I49" s="166">
        <v>1</v>
      </c>
      <c r="J49" s="166">
        <v>5</v>
      </c>
      <c r="K49" s="166">
        <v>2</v>
      </c>
      <c r="L49" s="167">
        <f t="shared" ref="L49:L76" si="7">SUM(C49:K49)</f>
        <v>30</v>
      </c>
    </row>
    <row r="50" spans="2:12" x14ac:dyDescent="0.2">
      <c r="B50" s="115" t="s">
        <v>119</v>
      </c>
      <c r="C50" s="157"/>
      <c r="D50" s="157"/>
      <c r="E50" s="166"/>
      <c r="F50" s="157"/>
      <c r="G50" s="157"/>
      <c r="H50" s="157"/>
      <c r="I50" s="157"/>
      <c r="J50" s="157"/>
      <c r="K50" s="157"/>
      <c r="L50" s="167">
        <f t="shared" si="7"/>
        <v>0</v>
      </c>
    </row>
    <row r="51" spans="2:12" x14ac:dyDescent="0.2">
      <c r="B51" s="115" t="s">
        <v>108</v>
      </c>
      <c r="C51" s="157">
        <v>6</v>
      </c>
      <c r="D51" s="157"/>
      <c r="E51" s="157">
        <v>21</v>
      </c>
      <c r="F51" s="157">
        <v>18</v>
      </c>
      <c r="G51" s="157">
        <v>15</v>
      </c>
      <c r="H51" s="166">
        <v>3</v>
      </c>
      <c r="I51" s="157"/>
      <c r="J51" s="166">
        <v>15</v>
      </c>
      <c r="K51" s="166">
        <v>3</v>
      </c>
      <c r="L51" s="167">
        <f t="shared" si="7"/>
        <v>81</v>
      </c>
    </row>
    <row r="52" spans="2:12" x14ac:dyDescent="0.2">
      <c r="B52" s="115" t="s">
        <v>144</v>
      </c>
      <c r="C52" s="157"/>
      <c r="D52" s="157"/>
      <c r="E52" s="157"/>
      <c r="F52" s="157"/>
      <c r="G52" s="157"/>
      <c r="H52" s="157"/>
      <c r="I52" s="157"/>
      <c r="J52" s="166">
        <v>1</v>
      </c>
      <c r="K52" s="166"/>
      <c r="L52" s="167">
        <f t="shared" si="7"/>
        <v>1</v>
      </c>
    </row>
    <row r="53" spans="2:12" x14ac:dyDescent="0.2">
      <c r="B53" s="115" t="s">
        <v>159</v>
      </c>
      <c r="C53" s="166">
        <v>13</v>
      </c>
      <c r="D53" s="157"/>
      <c r="E53" s="157">
        <v>11</v>
      </c>
      <c r="F53" s="157">
        <v>6</v>
      </c>
      <c r="G53" s="157">
        <v>3</v>
      </c>
      <c r="H53" s="157"/>
      <c r="I53" s="157"/>
      <c r="J53" s="166">
        <v>3</v>
      </c>
      <c r="K53" s="166"/>
      <c r="L53" s="167">
        <f t="shared" si="7"/>
        <v>36</v>
      </c>
    </row>
    <row r="54" spans="2:12" x14ac:dyDescent="0.2">
      <c r="B54" s="115" t="s">
        <v>109</v>
      </c>
      <c r="C54" s="166">
        <v>3</v>
      </c>
      <c r="D54" s="157"/>
      <c r="E54" s="166">
        <v>24</v>
      </c>
      <c r="F54" s="166">
        <v>4</v>
      </c>
      <c r="G54" s="157">
        <v>6</v>
      </c>
      <c r="H54" s="157"/>
      <c r="I54" s="157">
        <v>1</v>
      </c>
      <c r="J54" s="166">
        <v>22</v>
      </c>
      <c r="K54" s="157">
        <v>5</v>
      </c>
      <c r="L54" s="167">
        <f t="shared" si="7"/>
        <v>65</v>
      </c>
    </row>
    <row r="55" spans="2:12" x14ac:dyDescent="0.2">
      <c r="B55" s="115" t="s">
        <v>160</v>
      </c>
      <c r="C55" s="157"/>
      <c r="D55" s="157"/>
      <c r="E55" s="166"/>
      <c r="F55" s="166"/>
      <c r="G55" s="157"/>
      <c r="H55" s="157"/>
      <c r="I55" s="157"/>
      <c r="J55" s="166"/>
      <c r="K55" s="157"/>
      <c r="L55" s="167">
        <f>SUM(C55:K55)</f>
        <v>0</v>
      </c>
    </row>
    <row r="56" spans="2:12" x14ac:dyDescent="0.2">
      <c r="B56" s="115" t="s">
        <v>93</v>
      </c>
      <c r="C56" s="157"/>
      <c r="D56" s="157"/>
      <c r="E56" s="166"/>
      <c r="F56" s="166"/>
      <c r="G56" s="166"/>
      <c r="H56" s="166"/>
      <c r="I56" s="166"/>
      <c r="J56" s="166"/>
      <c r="K56" s="166"/>
      <c r="L56" s="167">
        <f t="shared" si="7"/>
        <v>0</v>
      </c>
    </row>
    <row r="57" spans="2:12" x14ac:dyDescent="0.2">
      <c r="B57" s="115" t="s">
        <v>130</v>
      </c>
      <c r="C57" s="157"/>
      <c r="D57" s="157"/>
      <c r="E57" s="157"/>
      <c r="F57" s="166"/>
      <c r="G57" s="166"/>
      <c r="H57" s="166"/>
      <c r="I57" s="157"/>
      <c r="J57" s="157"/>
      <c r="K57" s="166"/>
      <c r="L57" s="167">
        <f t="shared" si="7"/>
        <v>0</v>
      </c>
    </row>
    <row r="58" spans="2:12" x14ac:dyDescent="0.2">
      <c r="B58" s="115" t="s">
        <v>107</v>
      </c>
      <c r="C58" s="157"/>
      <c r="D58" s="157"/>
      <c r="E58" s="166"/>
      <c r="F58" s="166"/>
      <c r="G58" s="166"/>
      <c r="H58" s="166"/>
      <c r="I58" s="157"/>
      <c r="J58" s="166"/>
      <c r="K58" s="166"/>
      <c r="L58" s="167">
        <f t="shared" si="7"/>
        <v>0</v>
      </c>
    </row>
    <row r="59" spans="2:12" x14ac:dyDescent="0.2">
      <c r="B59" s="115" t="s">
        <v>110</v>
      </c>
      <c r="C59" s="157">
        <v>6</v>
      </c>
      <c r="D59" s="157"/>
      <c r="E59" s="166">
        <v>3</v>
      </c>
      <c r="F59" s="166">
        <v>2</v>
      </c>
      <c r="G59" s="166">
        <v>4</v>
      </c>
      <c r="H59" s="166"/>
      <c r="I59" s="157">
        <v>1</v>
      </c>
      <c r="J59" s="166">
        <v>21</v>
      </c>
      <c r="K59" s="166">
        <v>17</v>
      </c>
      <c r="L59" s="167">
        <f t="shared" si="7"/>
        <v>54</v>
      </c>
    </row>
    <row r="60" spans="2:12" x14ac:dyDescent="0.2">
      <c r="B60" s="115" t="s">
        <v>95</v>
      </c>
      <c r="C60" s="157"/>
      <c r="D60" s="157"/>
      <c r="E60" s="157"/>
      <c r="F60" s="157"/>
      <c r="G60" s="166"/>
      <c r="H60" s="166"/>
      <c r="I60" s="157"/>
      <c r="J60" s="166"/>
      <c r="K60" s="166"/>
      <c r="L60" s="167">
        <f t="shared" si="7"/>
        <v>0</v>
      </c>
    </row>
    <row r="61" spans="2:12" x14ac:dyDescent="0.2">
      <c r="B61" s="143" t="s">
        <v>42</v>
      </c>
      <c r="C61" s="157"/>
      <c r="D61" s="157"/>
      <c r="E61" s="166"/>
      <c r="F61" s="166"/>
      <c r="G61" s="166"/>
      <c r="H61" s="166"/>
      <c r="I61" s="166"/>
      <c r="J61" s="166"/>
      <c r="K61" s="166"/>
      <c r="L61" s="167">
        <f t="shared" si="7"/>
        <v>0</v>
      </c>
    </row>
    <row r="62" spans="2:12" x14ac:dyDescent="0.2">
      <c r="B62" s="143" t="s">
        <v>41</v>
      </c>
      <c r="C62" s="157"/>
      <c r="D62" s="157"/>
      <c r="E62" s="166"/>
      <c r="F62" s="157"/>
      <c r="G62" s="166"/>
      <c r="H62" s="166"/>
      <c r="I62" s="166"/>
      <c r="J62" s="166"/>
      <c r="K62" s="166"/>
      <c r="L62" s="167">
        <f t="shared" si="7"/>
        <v>0</v>
      </c>
    </row>
    <row r="63" spans="2:12" x14ac:dyDescent="0.2">
      <c r="B63" s="143" t="s">
        <v>135</v>
      </c>
      <c r="C63" s="157"/>
      <c r="D63" s="157"/>
      <c r="E63" s="166"/>
      <c r="F63" s="166"/>
      <c r="G63" s="166"/>
      <c r="H63" s="166"/>
      <c r="I63" s="166"/>
      <c r="J63" s="166"/>
      <c r="K63" s="166"/>
      <c r="L63" s="167">
        <f t="shared" si="7"/>
        <v>0</v>
      </c>
    </row>
    <row r="64" spans="2:12" x14ac:dyDescent="0.2">
      <c r="B64" s="143" t="s">
        <v>136</v>
      </c>
      <c r="C64" s="157"/>
      <c r="D64" s="157"/>
      <c r="E64" s="157"/>
      <c r="F64" s="157"/>
      <c r="G64" s="166"/>
      <c r="H64" s="166"/>
      <c r="I64" s="166"/>
      <c r="J64" s="166"/>
      <c r="K64" s="166"/>
      <c r="L64" s="167">
        <f t="shared" si="7"/>
        <v>0</v>
      </c>
    </row>
    <row r="65" spans="1:13" x14ac:dyDescent="0.2">
      <c r="B65" s="115" t="s">
        <v>163</v>
      </c>
      <c r="C65" s="157"/>
      <c r="D65" s="157"/>
      <c r="E65" s="157"/>
      <c r="F65" s="157"/>
      <c r="G65" s="166"/>
      <c r="H65" s="166"/>
      <c r="I65" s="166"/>
      <c r="J65" s="166"/>
      <c r="K65" s="166"/>
      <c r="L65" s="167">
        <f t="shared" si="7"/>
        <v>0</v>
      </c>
    </row>
    <row r="66" spans="1:13" x14ac:dyDescent="0.2">
      <c r="B66" s="143" t="s">
        <v>83</v>
      </c>
      <c r="C66" s="166">
        <v>16</v>
      </c>
      <c r="D66" s="166">
        <v>5</v>
      </c>
      <c r="E66" s="166">
        <v>50</v>
      </c>
      <c r="F66" s="166">
        <v>55</v>
      </c>
      <c r="G66" s="166">
        <v>24</v>
      </c>
      <c r="H66" s="166">
        <v>3</v>
      </c>
      <c r="I66" s="166">
        <v>1</v>
      </c>
      <c r="J66" s="166">
        <v>56</v>
      </c>
      <c r="K66" s="166">
        <v>13</v>
      </c>
      <c r="L66" s="167">
        <f t="shared" si="7"/>
        <v>223</v>
      </c>
    </row>
    <row r="67" spans="1:13" x14ac:dyDescent="0.2">
      <c r="B67" s="115" t="s">
        <v>161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7">
        <f t="shared" si="7"/>
        <v>0</v>
      </c>
    </row>
    <row r="68" spans="1:13" x14ac:dyDescent="0.2">
      <c r="B68" s="115" t="s">
        <v>129</v>
      </c>
      <c r="C68" s="157">
        <v>1</v>
      </c>
      <c r="D68" s="157"/>
      <c r="E68" s="166">
        <v>4</v>
      </c>
      <c r="F68" s="166">
        <v>2</v>
      </c>
      <c r="G68" s="166"/>
      <c r="H68" s="166"/>
      <c r="I68" s="166"/>
      <c r="J68" s="166"/>
      <c r="K68" s="166"/>
      <c r="L68" s="167">
        <f t="shared" si="7"/>
        <v>7</v>
      </c>
    </row>
    <row r="69" spans="1:13" x14ac:dyDescent="0.2">
      <c r="B69" s="115" t="s">
        <v>94</v>
      </c>
      <c r="C69" s="166"/>
      <c r="D69" s="157"/>
      <c r="E69" s="166"/>
      <c r="F69" s="166">
        <v>1</v>
      </c>
      <c r="G69" s="166"/>
      <c r="H69" s="166"/>
      <c r="I69" s="166"/>
      <c r="J69" s="166"/>
      <c r="K69" s="166"/>
      <c r="L69" s="167">
        <f t="shared" si="7"/>
        <v>1</v>
      </c>
    </row>
    <row r="70" spans="1:13" x14ac:dyDescent="0.2">
      <c r="B70" s="115" t="s">
        <v>162</v>
      </c>
      <c r="C70" s="166"/>
      <c r="D70" s="157"/>
      <c r="E70" s="166"/>
      <c r="F70" s="166"/>
      <c r="G70" s="166"/>
      <c r="H70" s="166"/>
      <c r="I70" s="166"/>
      <c r="J70" s="166"/>
      <c r="K70" s="166"/>
      <c r="L70" s="167">
        <f t="shared" si="7"/>
        <v>0</v>
      </c>
    </row>
    <row r="71" spans="1:13" x14ac:dyDescent="0.2">
      <c r="B71" s="115" t="s">
        <v>44</v>
      </c>
      <c r="C71" s="166"/>
      <c r="D71" s="157"/>
      <c r="E71" s="166">
        <v>2</v>
      </c>
      <c r="F71" s="166">
        <v>7</v>
      </c>
      <c r="G71" s="166">
        <v>3</v>
      </c>
      <c r="H71" s="166">
        <v>1</v>
      </c>
      <c r="I71" s="166"/>
      <c r="J71" s="166">
        <v>7</v>
      </c>
      <c r="K71" s="166">
        <v>2</v>
      </c>
      <c r="L71" s="167">
        <f t="shared" si="7"/>
        <v>22</v>
      </c>
    </row>
    <row r="72" spans="1:13" x14ac:dyDescent="0.2">
      <c r="B72" s="115" t="s">
        <v>43</v>
      </c>
      <c r="C72" s="157"/>
      <c r="D72" s="157"/>
      <c r="E72" s="157"/>
      <c r="F72" s="166"/>
      <c r="G72" s="166"/>
      <c r="H72" s="166"/>
      <c r="I72" s="166"/>
      <c r="J72" s="157"/>
      <c r="K72" s="166"/>
      <c r="L72" s="167">
        <f t="shared" si="7"/>
        <v>0</v>
      </c>
    </row>
    <row r="73" spans="1:13" x14ac:dyDescent="0.2">
      <c r="B73" s="115" t="s">
        <v>120</v>
      </c>
      <c r="C73" s="157"/>
      <c r="D73" s="157"/>
      <c r="E73" s="157"/>
      <c r="F73" s="166"/>
      <c r="G73" s="166"/>
      <c r="H73" s="166"/>
      <c r="I73" s="166"/>
      <c r="J73" s="157"/>
      <c r="K73" s="166"/>
      <c r="L73" s="167">
        <f t="shared" si="7"/>
        <v>0</v>
      </c>
    </row>
    <row r="74" spans="1:13" x14ac:dyDescent="0.2">
      <c r="B74" s="143" t="s">
        <v>74</v>
      </c>
      <c r="C74" s="157"/>
      <c r="D74" s="157"/>
      <c r="E74" s="157"/>
      <c r="F74" s="166"/>
      <c r="G74" s="166"/>
      <c r="H74" s="166"/>
      <c r="I74" s="157"/>
      <c r="J74" s="157"/>
      <c r="K74" s="166"/>
      <c r="L74" s="167">
        <f t="shared" si="7"/>
        <v>0</v>
      </c>
    </row>
    <row r="75" spans="1:13" ht="13.5" thickBot="1" x14ac:dyDescent="0.25">
      <c r="B75" s="80" t="s">
        <v>67</v>
      </c>
      <c r="C75" s="3"/>
      <c r="D75" s="3"/>
      <c r="E75" s="3"/>
      <c r="F75" s="3">
        <v>1</v>
      </c>
      <c r="G75" s="3">
        <v>1</v>
      </c>
      <c r="H75" s="3"/>
      <c r="I75" s="3"/>
      <c r="J75" s="3"/>
      <c r="K75" s="3"/>
      <c r="L75" s="61">
        <f t="shared" si="7"/>
        <v>2</v>
      </c>
    </row>
    <row r="76" spans="1:13" ht="13.5" thickTop="1" x14ac:dyDescent="0.2">
      <c r="B76" s="69" t="s">
        <v>7</v>
      </c>
      <c r="C76" s="45">
        <f t="shared" ref="C76:K76" si="8">SUM(C49:C75)</f>
        <v>48</v>
      </c>
      <c r="D76" s="45">
        <f t="shared" si="8"/>
        <v>5</v>
      </c>
      <c r="E76" s="45">
        <f t="shared" si="8"/>
        <v>124</v>
      </c>
      <c r="F76" s="45">
        <f t="shared" si="8"/>
        <v>100</v>
      </c>
      <c r="G76" s="45">
        <f t="shared" si="8"/>
        <v>62</v>
      </c>
      <c r="H76" s="45">
        <f t="shared" si="8"/>
        <v>7</v>
      </c>
      <c r="I76" s="45">
        <f t="shared" si="8"/>
        <v>4</v>
      </c>
      <c r="J76" s="45">
        <f t="shared" si="8"/>
        <v>130</v>
      </c>
      <c r="K76" s="45">
        <f t="shared" si="8"/>
        <v>42</v>
      </c>
      <c r="L76" s="151">
        <f t="shared" si="7"/>
        <v>522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87"/>
      <c r="G78" s="195"/>
      <c r="I78" s="186" t="s">
        <v>45</v>
      </c>
      <c r="J78" s="187"/>
      <c r="K78" s="187"/>
      <c r="L78" s="195"/>
      <c r="M78" s="6"/>
    </row>
    <row r="79" spans="1:13" x14ac:dyDescent="0.2">
      <c r="A79" s="104" t="s">
        <v>123</v>
      </c>
      <c r="B79" s="36"/>
      <c r="C79" s="43">
        <v>6</v>
      </c>
      <c r="D79" s="6"/>
      <c r="E79" s="38" t="s">
        <v>9</v>
      </c>
      <c r="F79" s="36"/>
      <c r="G79" s="43">
        <f>152+19</f>
        <v>171</v>
      </c>
      <c r="I79" s="42" t="s">
        <v>133</v>
      </c>
      <c r="J79" s="36"/>
      <c r="K79" s="36"/>
      <c r="L79" s="43">
        <v>239</v>
      </c>
      <c r="M79" s="6"/>
    </row>
    <row r="80" spans="1:13" x14ac:dyDescent="0.2">
      <c r="A80" s="42" t="s">
        <v>29</v>
      </c>
      <c r="B80" s="36"/>
      <c r="C80" s="43">
        <v>3</v>
      </c>
      <c r="D80" s="6"/>
      <c r="E80" s="38" t="s">
        <v>10</v>
      </c>
      <c r="F80" s="36"/>
      <c r="G80" s="43">
        <f>85+23</f>
        <v>108</v>
      </c>
      <c r="I80" s="42" t="s">
        <v>134</v>
      </c>
      <c r="J80" s="36"/>
      <c r="K80" s="36"/>
      <c r="L80" s="43">
        <v>77</v>
      </c>
      <c r="M80" s="6"/>
    </row>
    <row r="81" spans="1:13" x14ac:dyDescent="0.2">
      <c r="A81" s="42" t="s">
        <v>124</v>
      </c>
      <c r="B81" s="36"/>
      <c r="C81" s="43">
        <v>26</v>
      </c>
      <c r="D81" s="6"/>
      <c r="E81" s="38" t="s">
        <v>11</v>
      </c>
      <c r="F81" s="36"/>
      <c r="G81" s="43">
        <f>17+2</f>
        <v>19</v>
      </c>
      <c r="I81" s="42" t="s">
        <v>46</v>
      </c>
      <c r="J81" s="36"/>
      <c r="K81" s="36"/>
      <c r="L81" s="43">
        <v>9</v>
      </c>
      <c r="M81" s="6"/>
    </row>
    <row r="82" spans="1:13" x14ac:dyDescent="0.2">
      <c r="A82" s="42" t="s">
        <v>125</v>
      </c>
      <c r="B82" s="57"/>
      <c r="C82" s="43">
        <v>97</v>
      </c>
      <c r="D82" s="6"/>
      <c r="E82" s="38" t="s">
        <v>38</v>
      </c>
      <c r="F82" s="36"/>
      <c r="G82" s="43">
        <f>58+5</f>
        <v>63</v>
      </c>
      <c r="I82" s="42" t="s">
        <v>47</v>
      </c>
      <c r="J82" s="36"/>
      <c r="K82" s="36"/>
      <c r="L82" s="43">
        <v>12</v>
      </c>
      <c r="M82" s="6"/>
    </row>
    <row r="83" spans="1:13" x14ac:dyDescent="0.2">
      <c r="A83" s="42" t="s">
        <v>106</v>
      </c>
      <c r="B83" s="57"/>
      <c r="C83" s="43">
        <f>23+31</f>
        <v>54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/>
      <c r="M83" s="6"/>
    </row>
    <row r="84" spans="1:13" x14ac:dyDescent="0.2">
      <c r="A84" s="42" t="s">
        <v>146</v>
      </c>
      <c r="B84" s="57"/>
      <c r="C84" s="43">
        <v>14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68</v>
      </c>
    </row>
    <row r="86" spans="1:13" x14ac:dyDescent="0.2">
      <c r="A86" s="42" t="s">
        <v>126</v>
      </c>
      <c r="B86" s="36"/>
      <c r="C86" s="43">
        <v>3</v>
      </c>
      <c r="E86" s="186" t="s">
        <v>31</v>
      </c>
      <c r="F86" s="187"/>
      <c r="G86" s="187"/>
      <c r="H86" s="195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29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28</v>
      </c>
    </row>
    <row r="89" spans="1:13" x14ac:dyDescent="0.2">
      <c r="A89" s="104" t="s">
        <v>18</v>
      </c>
      <c r="B89" s="36"/>
      <c r="C89" s="61">
        <v>20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f>284+39+71</f>
        <v>394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97"/>
      <c r="D93" s="197"/>
      <c r="E93" s="71" t="s">
        <v>291</v>
      </c>
      <c r="I93" s="2"/>
      <c r="J93" s="1"/>
    </row>
    <row r="94" spans="1:13" x14ac:dyDescent="0.2">
      <c r="B94" s="1" t="s">
        <v>69</v>
      </c>
      <c r="D94" s="1" t="s">
        <v>101</v>
      </c>
      <c r="E94" s="69" t="s">
        <v>292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751</v>
      </c>
      <c r="E95" s="142"/>
      <c r="F95" s="236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>
        <v>13</v>
      </c>
      <c r="E96" s="143"/>
      <c r="F96" s="38"/>
      <c r="H96" s="1"/>
      <c r="I96" s="71" t="s">
        <v>139</v>
      </c>
      <c r="J96" s="60"/>
      <c r="K96">
        <v>12</v>
      </c>
      <c r="L96">
        <v>59</v>
      </c>
      <c r="M96" s="43">
        <v>2</v>
      </c>
    </row>
    <row r="97" spans="1:13" x14ac:dyDescent="0.2">
      <c r="A97" s="1"/>
      <c r="B97" s="17" t="s">
        <v>147</v>
      </c>
      <c r="C97" s="17"/>
      <c r="D97" s="39">
        <v>111</v>
      </c>
      <c r="E97" s="143">
        <v>131</v>
      </c>
      <c r="F97" s="38"/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22">
        <v>237</v>
      </c>
      <c r="E98" s="234"/>
      <c r="F98" s="237"/>
      <c r="I98" s="71" t="s">
        <v>154</v>
      </c>
      <c r="J98" s="60"/>
      <c r="K98" s="60"/>
      <c r="L98" s="57">
        <v>29</v>
      </c>
      <c r="M98" s="74"/>
    </row>
    <row r="99" spans="1:13" x14ac:dyDescent="0.2">
      <c r="B99" s="37" t="s">
        <v>151</v>
      </c>
      <c r="C99" s="22"/>
      <c r="D99" s="22">
        <v>9</v>
      </c>
      <c r="E99" s="144"/>
      <c r="F99" s="237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62</v>
      </c>
      <c r="E100" s="144"/>
      <c r="F100" s="237"/>
      <c r="H100" s="1"/>
      <c r="I100" s="69"/>
      <c r="J100" s="65"/>
      <c r="K100" s="98"/>
      <c r="L100" s="98"/>
      <c r="M100" s="99"/>
    </row>
    <row r="101" spans="1:13" x14ac:dyDescent="0.2">
      <c r="B101" s="37" t="s">
        <v>293</v>
      </c>
      <c r="C101" s="22"/>
      <c r="D101" s="241" t="s">
        <v>181</v>
      </c>
      <c r="E101" s="144"/>
      <c r="F101" s="237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145"/>
      <c r="F102" s="238"/>
      <c r="H102" s="1"/>
      <c r="I102" s="199" t="s">
        <v>112</v>
      </c>
      <c r="J102" s="196"/>
      <c r="K102" s="196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37</v>
      </c>
      <c r="E103" s="145"/>
      <c r="F103" s="238"/>
      <c r="I103" s="102" t="s">
        <v>116</v>
      </c>
      <c r="J103" s="40"/>
      <c r="K103" s="103">
        <v>1389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15</v>
      </c>
      <c r="E104" s="145"/>
      <c r="F104" s="238"/>
      <c r="I104" s="104" t="s">
        <v>101</v>
      </c>
      <c r="J104" s="4"/>
      <c r="K104" s="105">
        <v>124</v>
      </c>
      <c r="L104" s="93"/>
      <c r="M104" s="93"/>
    </row>
    <row r="105" spans="1:13" x14ac:dyDescent="0.2">
      <c r="B105" s="21" t="s">
        <v>99</v>
      </c>
      <c r="C105" s="21"/>
      <c r="D105" s="20">
        <v>14</v>
      </c>
      <c r="E105" s="147"/>
      <c r="F105" s="239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43"/>
      <c r="F106" s="38"/>
      <c r="I106" s="200" t="s">
        <v>117</v>
      </c>
      <c r="J106" s="200"/>
      <c r="K106" s="201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17">
        <v>5</v>
      </c>
      <c r="E107" s="115"/>
      <c r="F107" s="38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146"/>
      <c r="F108" s="240"/>
      <c r="I108" s="110" t="s">
        <v>23</v>
      </c>
      <c r="J108" s="101"/>
      <c r="K108" s="36"/>
      <c r="L108" s="36"/>
      <c r="M108" s="109">
        <f>SUM(K108:L108)</f>
        <v>0</v>
      </c>
    </row>
    <row r="109" spans="1:13" x14ac:dyDescent="0.2">
      <c r="A109" s="1" t="s">
        <v>77</v>
      </c>
      <c r="B109" s="20" t="s">
        <v>82</v>
      </c>
      <c r="C109" s="20"/>
      <c r="D109" s="17">
        <v>6</v>
      </c>
      <c r="E109" s="143">
        <v>121</v>
      </c>
      <c r="F109" s="38"/>
      <c r="I109" s="110" t="s">
        <v>24</v>
      </c>
      <c r="J109" s="101"/>
      <c r="K109" s="36">
        <v>18</v>
      </c>
      <c r="L109" s="36"/>
      <c r="M109" s="109">
        <f t="shared" ref="M109:M110" si="9">SUM(K109:L109)</f>
        <v>18</v>
      </c>
    </row>
    <row r="110" spans="1:13" x14ac:dyDescent="0.2">
      <c r="A110" s="1"/>
      <c r="B110" s="115" t="s">
        <v>153</v>
      </c>
      <c r="D110" s="20">
        <v>44</v>
      </c>
      <c r="E110" s="147"/>
      <c r="F110" s="239"/>
      <c r="I110" s="110" t="s">
        <v>156</v>
      </c>
      <c r="J110" s="101"/>
      <c r="K110" s="36"/>
      <c r="L110" s="36"/>
      <c r="M110" s="109">
        <f t="shared" si="9"/>
        <v>0</v>
      </c>
    </row>
    <row r="111" spans="1:13" x14ac:dyDescent="0.2">
      <c r="A111" s="1"/>
      <c r="B111" s="39" t="s">
        <v>182</v>
      </c>
      <c r="C111" s="20"/>
      <c r="D111" s="20">
        <v>6084</v>
      </c>
      <c r="E111" s="235"/>
      <c r="F111" s="239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20">
        <v>122</v>
      </c>
      <c r="E112" s="235"/>
      <c r="F112" s="239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20">
        <v>80</v>
      </c>
      <c r="E113" s="235"/>
      <c r="F113" s="239"/>
      <c r="I113" s="181" t="s">
        <v>111</v>
      </c>
      <c r="J113" s="188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20">
        <v>44</v>
      </c>
      <c r="E114" s="235"/>
      <c r="F114" s="239"/>
      <c r="I114" s="181" t="s">
        <v>143</v>
      </c>
      <c r="J114" s="188"/>
      <c r="K114" s="121">
        <v>6</v>
      </c>
      <c r="L114" s="94" t="s">
        <v>145</v>
      </c>
      <c r="M114" s="101"/>
    </row>
    <row r="115" spans="1:13" x14ac:dyDescent="0.2">
      <c r="C115" s="1" t="s">
        <v>7</v>
      </c>
      <c r="D115">
        <f>SUM(D95:D114)</f>
        <v>7634</v>
      </c>
      <c r="E115">
        <f>SUM(E95:E114)</f>
        <v>252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5"/>
      <c r="D117" s="127"/>
      <c r="E117" s="126"/>
      <c r="F117" s="127"/>
    </row>
    <row r="118" spans="1:13" x14ac:dyDescent="0.2">
      <c r="A118" s="181" t="s">
        <v>58</v>
      </c>
      <c r="B118" s="189"/>
      <c r="C118" s="206"/>
      <c r="D118" s="48"/>
    </row>
    <row r="119" spans="1:13" x14ac:dyDescent="0.2">
      <c r="A119" s="47"/>
      <c r="B119" s="70"/>
      <c r="C119" s="40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A120" s="38"/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48428</v>
      </c>
      <c r="C122" s="36">
        <f>96+42+32+23</f>
        <v>193</v>
      </c>
      <c r="D122" s="36">
        <v>1481</v>
      </c>
      <c r="E122" s="4">
        <v>286</v>
      </c>
      <c r="F122" s="4">
        <v>506</v>
      </c>
      <c r="G122" s="36">
        <v>1103</v>
      </c>
      <c r="H122" s="4">
        <f>190+1282</f>
        <v>1472</v>
      </c>
      <c r="I122" s="4">
        <f>94</f>
        <v>94</v>
      </c>
      <c r="J122" s="36">
        <v>13178</v>
      </c>
      <c r="K122" s="36">
        <v>10408</v>
      </c>
      <c r="L122" s="36">
        <v>625</v>
      </c>
      <c r="M122" s="43">
        <f>SUM(B122:L122)</f>
        <v>77774</v>
      </c>
    </row>
    <row r="123" spans="1:13" x14ac:dyDescent="0.2">
      <c r="A123" s="48"/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48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160</v>
      </c>
      <c r="F126" s="186" t="s">
        <v>49</v>
      </c>
      <c r="G126" s="187"/>
      <c r="H126" s="75">
        <v>4</v>
      </c>
      <c r="J126" s="186" t="s">
        <v>75</v>
      </c>
      <c r="K126" s="192"/>
      <c r="L126" s="192"/>
      <c r="M126" s="41">
        <v>0</v>
      </c>
    </row>
    <row r="127" spans="1:13" x14ac:dyDescent="0.2">
      <c r="A127" s="203" t="s">
        <v>84</v>
      </c>
      <c r="B127" s="200"/>
      <c r="C127" s="49">
        <v>155</v>
      </c>
      <c r="F127" s="190" t="s">
        <v>50</v>
      </c>
      <c r="G127" s="191"/>
      <c r="H127" s="76">
        <v>3</v>
      </c>
      <c r="J127" s="190" t="s">
        <v>76</v>
      </c>
      <c r="K127" s="202"/>
      <c r="L127" s="202"/>
      <c r="M127" s="46">
        <v>0</v>
      </c>
    </row>
    <row r="128" spans="1:13" x14ac:dyDescent="0.2">
      <c r="A128" s="190" t="s">
        <v>92</v>
      </c>
      <c r="B128" s="202"/>
      <c r="C128" s="46">
        <v>1274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87"/>
      <c r="D130" s="187"/>
      <c r="E130" s="192"/>
      <c r="F130" s="40"/>
      <c r="G130" s="40"/>
      <c r="H130" s="40"/>
      <c r="I130" s="40"/>
      <c r="J130" s="40"/>
      <c r="K130" s="40"/>
      <c r="L130" s="41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74" t="s">
        <v>14</v>
      </c>
    </row>
    <row r="132" spans="1:13" x14ac:dyDescent="0.2">
      <c r="A132" s="38"/>
      <c r="B132" s="60" t="s">
        <v>195</v>
      </c>
      <c r="C132" s="36">
        <v>113</v>
      </c>
      <c r="D132" s="36">
        <v>37</v>
      </c>
      <c r="E132" s="36">
        <v>436</v>
      </c>
      <c r="F132" s="4">
        <v>422</v>
      </c>
      <c r="G132" s="4">
        <v>172</v>
      </c>
      <c r="H132" s="4">
        <v>27</v>
      </c>
      <c r="I132" s="4">
        <f>34+44</f>
        <v>78</v>
      </c>
      <c r="J132" s="4">
        <v>218</v>
      </c>
      <c r="K132" s="4">
        <v>346</v>
      </c>
      <c r="L132" s="61">
        <f>SUM(C132:K132)</f>
        <v>1849</v>
      </c>
    </row>
    <row r="133" spans="1:13" x14ac:dyDescent="0.2">
      <c r="A133" s="38"/>
      <c r="B133" s="60" t="s">
        <v>9</v>
      </c>
      <c r="C133" s="36" t="s">
        <v>181</v>
      </c>
      <c r="D133" s="36" t="s">
        <v>181</v>
      </c>
      <c r="E133" s="36" t="s">
        <v>181</v>
      </c>
      <c r="F133" s="4">
        <v>212</v>
      </c>
      <c r="G133" s="4" t="s">
        <v>181</v>
      </c>
      <c r="H133" s="4" t="s">
        <v>181</v>
      </c>
      <c r="I133" s="4" t="s">
        <v>181</v>
      </c>
      <c r="J133" s="4">
        <v>67</v>
      </c>
      <c r="K133" s="4" t="s">
        <v>181</v>
      </c>
      <c r="L133" s="61">
        <f>SUM(C133:K133)</f>
        <v>279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0</v>
      </c>
      <c r="E134" s="208">
        <v>0</v>
      </c>
      <c r="F134" s="208">
        <v>2</v>
      </c>
      <c r="G134" s="208">
        <v>0</v>
      </c>
      <c r="H134" s="208">
        <v>0</v>
      </c>
      <c r="I134" s="208" t="s">
        <v>181</v>
      </c>
      <c r="J134" s="208">
        <v>9</v>
      </c>
      <c r="K134" s="208">
        <v>0</v>
      </c>
      <c r="L134" s="177">
        <f>SUM(C134:K134)</f>
        <v>11</v>
      </c>
    </row>
    <row r="135" spans="1:13" ht="13.5" thickTop="1" x14ac:dyDescent="0.2">
      <c r="A135" s="38"/>
      <c r="B135" s="60" t="s">
        <v>14</v>
      </c>
      <c r="C135" s="36">
        <f>SUM(C132:C134)</f>
        <v>113</v>
      </c>
      <c r="D135" s="36">
        <f>SUM(D132:D134)</f>
        <v>37</v>
      </c>
      <c r="E135" s="36">
        <f t="shared" ref="E135:L135" si="10">SUM(E132:E134)</f>
        <v>436</v>
      </c>
      <c r="F135" s="36">
        <f t="shared" si="10"/>
        <v>636</v>
      </c>
      <c r="G135" s="36">
        <f t="shared" si="10"/>
        <v>172</v>
      </c>
      <c r="H135" s="36">
        <f t="shared" si="10"/>
        <v>27</v>
      </c>
      <c r="I135" s="36">
        <f t="shared" si="10"/>
        <v>78</v>
      </c>
      <c r="J135" s="36">
        <f t="shared" si="10"/>
        <v>294</v>
      </c>
      <c r="K135" s="36">
        <f t="shared" si="10"/>
        <v>346</v>
      </c>
      <c r="L135" s="49">
        <f t="shared" si="10"/>
        <v>2139</v>
      </c>
    </row>
    <row r="136" spans="1:13" x14ac:dyDescent="0.2">
      <c r="A136" s="3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4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6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245</v>
      </c>
      <c r="B139" s="194"/>
      <c r="C139" s="197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56"/>
      <c r="B141" s="27"/>
      <c r="C141" s="27"/>
      <c r="D141" s="27"/>
      <c r="E141" s="27"/>
      <c r="F141" s="28"/>
      <c r="G141" s="163" t="s">
        <v>187</v>
      </c>
      <c r="H141" s="29"/>
      <c r="I141" s="82"/>
      <c r="J141" s="83"/>
      <c r="K141" s="84"/>
      <c r="L141" s="84"/>
      <c r="M141" s="119"/>
    </row>
    <row r="142" spans="1:13" ht="18" x14ac:dyDescent="0.25">
      <c r="A142" s="34" t="s">
        <v>164</v>
      </c>
      <c r="B142" s="27"/>
      <c r="C142" s="27"/>
      <c r="D142" s="27"/>
      <c r="E142" s="27"/>
      <c r="F142" s="82"/>
      <c r="G142" s="83"/>
      <c r="H142" s="82"/>
      <c r="I142" s="82"/>
      <c r="J142" s="82"/>
      <c r="K142" s="85"/>
      <c r="L142" s="85"/>
      <c r="M142" s="86"/>
    </row>
    <row r="143" spans="1:13" x14ac:dyDescent="0.2">
      <c r="A143" s="161" t="s">
        <v>165</v>
      </c>
      <c r="B143" s="27"/>
      <c r="C143" s="27"/>
      <c r="D143" s="27"/>
      <c r="E143" s="27"/>
      <c r="F143" s="28"/>
      <c r="G143" s="35" t="s">
        <v>168</v>
      </c>
      <c r="H143" s="82"/>
      <c r="I143" s="82"/>
      <c r="J143" s="82"/>
      <c r="K143" s="85"/>
      <c r="L143" s="85"/>
      <c r="M143" s="86"/>
    </row>
    <row r="144" spans="1:13" x14ac:dyDescent="0.2">
      <c r="A144" s="162" t="s">
        <v>166</v>
      </c>
      <c r="B144" s="36"/>
      <c r="C144" s="36"/>
      <c r="D144" s="36"/>
      <c r="E144" s="36"/>
      <c r="F144" s="36"/>
      <c r="G144" s="163" t="s">
        <v>169</v>
      </c>
      <c r="H144" s="36"/>
      <c r="I144" s="36"/>
      <c r="J144" s="36"/>
      <c r="K144" s="36"/>
      <c r="L144" s="36"/>
      <c r="M144" s="43"/>
    </row>
    <row r="145" spans="1:13" ht="18" x14ac:dyDescent="0.25">
      <c r="A145" s="161" t="s">
        <v>167</v>
      </c>
      <c r="B145" s="89"/>
      <c r="C145" s="27"/>
      <c r="D145" s="27"/>
      <c r="E145" s="27"/>
      <c r="F145" s="82"/>
      <c r="G145" s="163" t="s">
        <v>180</v>
      </c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171</v>
      </c>
      <c r="B146" s="27"/>
      <c r="C146" s="27"/>
      <c r="D146" s="27"/>
      <c r="E146" s="27"/>
      <c r="F146" s="82"/>
      <c r="G146" s="163" t="s">
        <v>183</v>
      </c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189</v>
      </c>
      <c r="B147" s="89"/>
      <c r="C147" s="27"/>
      <c r="D147" s="27"/>
      <c r="E147" s="27"/>
      <c r="F147" s="27"/>
      <c r="G147" s="163" t="s">
        <v>188</v>
      </c>
      <c r="H147" s="29"/>
      <c r="I147" s="29"/>
      <c r="J147" s="29"/>
      <c r="K147" s="29"/>
      <c r="L147" s="27"/>
      <c r="M147" s="30"/>
    </row>
    <row r="148" spans="1:13" x14ac:dyDescent="0.2">
      <c r="A148" s="162" t="s">
        <v>190</v>
      </c>
      <c r="B148" s="35"/>
      <c r="C148" s="35"/>
      <c r="D148" s="27"/>
      <c r="E148" s="35"/>
      <c r="F148" s="92"/>
      <c r="G148" s="36"/>
      <c r="H148" s="36"/>
      <c r="I148" s="82"/>
      <c r="J148" s="82"/>
      <c r="K148" s="27"/>
      <c r="L148" s="27"/>
      <c r="M148" s="30"/>
    </row>
    <row r="149" spans="1:13" x14ac:dyDescent="0.2">
      <c r="A149" s="161" t="s">
        <v>194</v>
      </c>
      <c r="B149" s="27"/>
      <c r="C149" s="27"/>
      <c r="D149" s="27"/>
      <c r="E149" s="27"/>
      <c r="F149" s="92"/>
      <c r="G149" s="36"/>
      <c r="H149" s="36"/>
      <c r="I149" s="82"/>
      <c r="J149" s="82"/>
      <c r="K149" s="27"/>
      <c r="L149" s="27"/>
      <c r="M149" s="30"/>
    </row>
    <row r="150" spans="1:13" ht="18" x14ac:dyDescent="0.25">
      <c r="A150" s="56"/>
      <c r="B150" s="27"/>
      <c r="C150" s="27"/>
      <c r="D150" s="27"/>
      <c r="E150" s="27"/>
      <c r="F150" s="92"/>
      <c r="G150" s="131" t="s">
        <v>170</v>
      </c>
      <c r="H150" s="36"/>
      <c r="I150" s="29"/>
      <c r="J150" s="29"/>
      <c r="K150" s="27"/>
      <c r="L150" s="27"/>
      <c r="M150" s="30"/>
    </row>
    <row r="151" spans="1:13" ht="18" x14ac:dyDescent="0.25">
      <c r="A151" s="149" t="s">
        <v>173</v>
      </c>
      <c r="B151" s="36"/>
      <c r="C151" s="36"/>
      <c r="D151" s="36"/>
      <c r="E151" s="36"/>
      <c r="F151" s="28"/>
      <c r="G151" s="163" t="s">
        <v>172</v>
      </c>
      <c r="H151" s="36"/>
      <c r="I151" s="29"/>
      <c r="J151" s="29"/>
      <c r="K151" s="27"/>
      <c r="L151" s="27"/>
      <c r="M151" s="30"/>
    </row>
    <row r="152" spans="1:13" x14ac:dyDescent="0.2">
      <c r="A152" s="162" t="s">
        <v>174</v>
      </c>
      <c r="B152" s="27"/>
      <c r="C152" s="27"/>
      <c r="D152" s="27"/>
      <c r="E152" s="27"/>
      <c r="F152" s="28"/>
      <c r="G152" s="163" t="s">
        <v>175</v>
      </c>
      <c r="H152" s="36"/>
      <c r="I152" s="82"/>
      <c r="J152" s="82"/>
      <c r="K152" s="85"/>
      <c r="L152" s="85"/>
      <c r="M152" s="86"/>
    </row>
    <row r="153" spans="1:13" x14ac:dyDescent="0.2">
      <c r="A153" s="162" t="s">
        <v>192</v>
      </c>
      <c r="B153" s="27"/>
      <c r="C153" s="27"/>
      <c r="D153" s="27"/>
      <c r="E153" s="27"/>
      <c r="F153" s="28"/>
      <c r="G153" s="164"/>
      <c r="H153" s="36"/>
      <c r="I153" s="82"/>
      <c r="J153" s="82"/>
      <c r="K153" s="85"/>
      <c r="L153" s="85"/>
      <c r="M153" s="86"/>
    </row>
    <row r="154" spans="1:13" x14ac:dyDescent="0.2">
      <c r="A154" s="162" t="s">
        <v>176</v>
      </c>
      <c r="B154" s="27"/>
      <c r="C154" s="27"/>
      <c r="D154" s="27"/>
      <c r="E154" s="27"/>
      <c r="F154" s="28"/>
      <c r="G154" s="163" t="s">
        <v>177</v>
      </c>
      <c r="H154" s="36"/>
      <c r="I154" s="82"/>
      <c r="J154" s="82"/>
      <c r="K154" s="85"/>
      <c r="L154" s="85"/>
      <c r="M154" s="86"/>
    </row>
    <row r="155" spans="1:13" x14ac:dyDescent="0.2">
      <c r="A155" s="161" t="s">
        <v>184</v>
      </c>
      <c r="B155" s="27"/>
      <c r="C155" s="27"/>
      <c r="D155" s="27"/>
      <c r="E155" s="27"/>
      <c r="F155" s="28"/>
      <c r="G155" s="163" t="s">
        <v>178</v>
      </c>
      <c r="H155" s="36"/>
      <c r="I155" s="82"/>
      <c r="J155" s="82"/>
      <c r="K155" s="85"/>
      <c r="L155" s="85"/>
      <c r="M155" s="86"/>
    </row>
    <row r="156" spans="1:13" x14ac:dyDescent="0.2">
      <c r="A156" s="161" t="s">
        <v>185</v>
      </c>
      <c r="B156" s="27"/>
      <c r="C156" s="27"/>
      <c r="D156" s="36"/>
      <c r="E156" s="36"/>
      <c r="F156" s="36"/>
      <c r="G156" s="163" t="s">
        <v>179</v>
      </c>
      <c r="H156" s="36"/>
      <c r="I156" s="36"/>
      <c r="J156" s="36"/>
      <c r="K156" s="36"/>
      <c r="L156" s="36"/>
      <c r="M156" s="43"/>
    </row>
    <row r="157" spans="1:13" x14ac:dyDescent="0.2">
      <c r="A157" s="161" t="s">
        <v>191</v>
      </c>
      <c r="B157" s="27"/>
      <c r="C157" s="27"/>
      <c r="D157" s="27"/>
      <c r="E157" s="27"/>
      <c r="F157" s="28"/>
      <c r="G157" s="36"/>
      <c r="H157" s="36"/>
      <c r="I157" s="36"/>
      <c r="J157" s="36"/>
      <c r="K157" s="85"/>
      <c r="L157" s="85"/>
      <c r="M157" s="86"/>
    </row>
    <row r="158" spans="1:13" x14ac:dyDescent="0.2">
      <c r="A158" s="161" t="s">
        <v>193</v>
      </c>
      <c r="B158" s="35"/>
      <c r="C158" s="35"/>
      <c r="D158" s="27"/>
      <c r="E158" s="27"/>
      <c r="F158" s="28"/>
      <c r="G158" s="36"/>
      <c r="H158" s="36"/>
      <c r="I158" s="82"/>
      <c r="J158" s="82"/>
      <c r="K158" s="85"/>
      <c r="L158" s="85"/>
      <c r="M158" s="86"/>
    </row>
    <row r="159" spans="1:13" x14ac:dyDescent="0.2">
      <c r="A159" s="161" t="s">
        <v>233</v>
      </c>
      <c r="B159" s="27"/>
      <c r="C159" s="27"/>
      <c r="D159" s="27"/>
      <c r="E159" s="89"/>
      <c r="F159" s="27"/>
      <c r="G159" s="36"/>
      <c r="H159" s="36"/>
      <c r="I159" s="27"/>
      <c r="J159" s="82"/>
      <c r="K159" s="36"/>
      <c r="L159" s="36"/>
      <c r="M159" s="43"/>
    </row>
    <row r="160" spans="1:13" ht="18" x14ac:dyDescent="0.25">
      <c r="A160" s="38"/>
      <c r="B160" s="27"/>
      <c r="C160" s="27"/>
      <c r="D160" s="27"/>
      <c r="E160" s="27"/>
      <c r="F160" s="28"/>
      <c r="G160" s="36"/>
      <c r="H160" s="36"/>
      <c r="I160" s="29"/>
      <c r="J160" s="29"/>
      <c r="K160" s="27"/>
      <c r="L160" s="27"/>
      <c r="M160" s="30"/>
    </row>
    <row r="161" spans="1:13" ht="18" x14ac:dyDescent="0.25">
      <c r="A161" s="38"/>
      <c r="B161" s="27"/>
      <c r="C161" s="27"/>
      <c r="D161" s="27"/>
      <c r="E161" s="89"/>
      <c r="F161" s="82"/>
      <c r="G161" s="36"/>
      <c r="H161" s="83"/>
      <c r="I161" s="83"/>
      <c r="J161" s="82"/>
      <c r="K161" s="85"/>
      <c r="L161" s="89"/>
      <c r="M161" s="120"/>
    </row>
    <row r="162" spans="1:13" ht="18" x14ac:dyDescent="0.25">
      <c r="A162" s="38"/>
      <c r="B162" s="27"/>
      <c r="C162" s="27"/>
      <c r="D162" s="27"/>
      <c r="E162" s="27"/>
      <c r="F162" s="82"/>
      <c r="G162" s="36"/>
      <c r="H162" s="82"/>
      <c r="I162" s="83"/>
      <c r="J162" s="83"/>
      <c r="K162" s="84"/>
      <c r="L162" s="84"/>
      <c r="M162" s="30"/>
    </row>
    <row r="163" spans="1:13" ht="18" x14ac:dyDescent="0.25">
      <c r="A163" s="38"/>
      <c r="B163" s="27"/>
      <c r="C163" s="27"/>
      <c r="D163" s="27"/>
      <c r="E163" s="27"/>
      <c r="F163" s="82"/>
      <c r="G163" s="36"/>
      <c r="H163" s="83"/>
      <c r="I163" s="83"/>
      <c r="J163" s="83"/>
      <c r="K163" s="84"/>
      <c r="L163" s="84"/>
      <c r="M163" s="30"/>
    </row>
    <row r="164" spans="1:13" ht="18" x14ac:dyDescent="0.25">
      <c r="A164" s="38"/>
      <c r="B164" s="27"/>
      <c r="C164" s="27"/>
      <c r="D164" s="27"/>
      <c r="E164" s="89"/>
      <c r="F164" s="82"/>
      <c r="G164" s="36"/>
      <c r="H164" s="83"/>
      <c r="I164" s="82"/>
      <c r="J164" s="83"/>
      <c r="K164" s="84"/>
      <c r="L164" s="84"/>
      <c r="M164" s="30"/>
    </row>
    <row r="165" spans="1:13" ht="18" x14ac:dyDescent="0.25">
      <c r="A165" s="129"/>
      <c r="B165" s="31"/>
      <c r="C165" s="31"/>
      <c r="D165" s="31"/>
      <c r="E165" s="117"/>
      <c r="F165" s="91"/>
      <c r="G165" s="130"/>
      <c r="H165" s="130"/>
      <c r="I165" s="91"/>
      <c r="J165" s="130"/>
      <c r="K165" s="90"/>
      <c r="L165" s="90"/>
      <c r="M165" s="114"/>
    </row>
    <row r="166" spans="1:13" x14ac:dyDescent="0.2">
      <c r="A166" s="89"/>
      <c r="B166" s="28"/>
      <c r="C166" s="82"/>
      <c r="D166" s="82"/>
      <c r="E166" s="82"/>
      <c r="F166" s="82"/>
      <c r="G166" s="85"/>
      <c r="H166" s="85"/>
      <c r="I166" s="85"/>
      <c r="J166" s="85"/>
      <c r="K166" s="84"/>
      <c r="L166" s="84"/>
      <c r="M166" s="27"/>
    </row>
    <row r="169" spans="1:13" x14ac:dyDescent="0.2">
      <c r="I169" s="36"/>
      <c r="J169" s="36"/>
      <c r="K169" s="36"/>
      <c r="L169" s="36"/>
    </row>
    <row r="170" spans="1:13" x14ac:dyDescent="0.2">
      <c r="I170" s="36"/>
      <c r="J170" s="36"/>
      <c r="K170" s="36"/>
      <c r="L170" s="36"/>
    </row>
  </sheetData>
  <phoneticPr fontId="0" type="noConversion"/>
  <pageMargins left="0.5" right="0.5" top="0.5" bottom="0.5" header="0.5" footer="0.5"/>
  <pageSetup fitToHeight="0" orientation="landscape" r:id="rId1"/>
  <headerFooter>
    <oddHeader>&amp;C
&amp;RJuly 2015 - Page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9"/>
  <sheetViews>
    <sheetView topLeftCell="A25" zoomScaleNormal="100" workbookViewId="0">
      <selection activeCell="N39" sqref="N3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>
        <v>42461</v>
      </c>
      <c r="H2" s="10"/>
      <c r="I2" s="10"/>
      <c r="J2" s="12"/>
    </row>
    <row r="6" spans="1:18" x14ac:dyDescent="0.2">
      <c r="A6" s="186" t="s">
        <v>15</v>
      </c>
      <c r="B6" s="186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55</v>
      </c>
      <c r="D7" s="36">
        <v>4</v>
      </c>
      <c r="E7" s="36">
        <v>88</v>
      </c>
      <c r="F7" s="72">
        <v>340</v>
      </c>
      <c r="G7" s="72">
        <v>131</v>
      </c>
      <c r="H7" s="72">
        <v>0</v>
      </c>
      <c r="I7" s="72">
        <v>0</v>
      </c>
      <c r="J7" s="72">
        <v>184</v>
      </c>
      <c r="K7" s="72">
        <v>22</v>
      </c>
      <c r="L7" s="232" t="s">
        <v>181</v>
      </c>
      <c r="M7" s="4">
        <f>SUM(C7:L7)</f>
        <v>824</v>
      </c>
    </row>
    <row r="8" spans="1:18" x14ac:dyDescent="0.2">
      <c r="A8" s="38"/>
      <c r="B8" s="57" t="s">
        <v>156</v>
      </c>
      <c r="C8" s="36">
        <v>1</v>
      </c>
      <c r="D8" s="36">
        <v>1</v>
      </c>
      <c r="E8" s="36">
        <v>11</v>
      </c>
      <c r="F8" s="72">
        <v>21</v>
      </c>
      <c r="G8" s="72">
        <v>11</v>
      </c>
      <c r="H8" s="72">
        <v>0</v>
      </c>
      <c r="I8" s="72">
        <v>0</v>
      </c>
      <c r="J8" s="72">
        <v>32</v>
      </c>
      <c r="K8" s="72">
        <v>0</v>
      </c>
      <c r="L8" s="260">
        <v>13</v>
      </c>
      <c r="M8" s="4">
        <f>SUM(C8:L8)</f>
        <v>90</v>
      </c>
    </row>
    <row r="9" spans="1:18" ht="13.5" thickBot="1" x14ac:dyDescent="0.25">
      <c r="A9" s="38"/>
      <c r="B9" s="57" t="s">
        <v>157</v>
      </c>
      <c r="C9" s="3">
        <v>1</v>
      </c>
      <c r="D9" s="3">
        <v>0</v>
      </c>
      <c r="E9" s="3">
        <v>7</v>
      </c>
      <c r="F9" s="3">
        <v>74</v>
      </c>
      <c r="G9" s="3">
        <v>17</v>
      </c>
      <c r="H9" s="3">
        <v>0</v>
      </c>
      <c r="I9" s="3">
        <v>0</v>
      </c>
      <c r="J9" s="3">
        <v>37</v>
      </c>
      <c r="K9" s="3">
        <v>0</v>
      </c>
      <c r="L9" s="135" t="s">
        <v>181</v>
      </c>
      <c r="M9" s="3">
        <f>SUM(C9:K9)</f>
        <v>136</v>
      </c>
    </row>
    <row r="10" spans="1:18" ht="13.5" thickTop="1" x14ac:dyDescent="0.2">
      <c r="A10" s="48"/>
      <c r="B10" s="65" t="s">
        <v>14</v>
      </c>
      <c r="C10" s="45">
        <f>SUM(C7:C9)</f>
        <v>57</v>
      </c>
      <c r="D10" s="45">
        <f t="shared" ref="D10:M10" si="0">SUM(D7:D9)</f>
        <v>5</v>
      </c>
      <c r="E10" s="45">
        <f t="shared" si="0"/>
        <v>106</v>
      </c>
      <c r="F10" s="45">
        <f t="shared" si="0"/>
        <v>435</v>
      </c>
      <c r="G10" s="45">
        <f t="shared" si="0"/>
        <v>159</v>
      </c>
      <c r="H10" s="45">
        <f t="shared" si="0"/>
        <v>0</v>
      </c>
      <c r="I10" s="45">
        <f t="shared" si="0"/>
        <v>0</v>
      </c>
      <c r="J10" s="45">
        <f t="shared" si="0"/>
        <v>253</v>
      </c>
      <c r="K10" s="45">
        <f t="shared" si="0"/>
        <v>22</v>
      </c>
      <c r="L10" s="45">
        <f t="shared" si="0"/>
        <v>13</v>
      </c>
      <c r="M10" s="45">
        <f t="shared" si="0"/>
        <v>1050</v>
      </c>
    </row>
    <row r="11" spans="1:18" x14ac:dyDescent="0.2">
      <c r="B11" s="1"/>
      <c r="D11" s="2"/>
    </row>
    <row r="12" spans="1:18" x14ac:dyDescent="0.2">
      <c r="A12" s="181" t="s">
        <v>52</v>
      </c>
      <c r="B12" s="181"/>
      <c r="C12" s="66">
        <v>3260</v>
      </c>
      <c r="D12" s="66">
        <v>82</v>
      </c>
      <c r="E12" s="40">
        <v>14386</v>
      </c>
      <c r="F12" s="66">
        <v>11954</v>
      </c>
      <c r="G12" s="66">
        <v>9413</v>
      </c>
      <c r="H12" s="66">
        <v>104</v>
      </c>
      <c r="I12" s="66">
        <v>60</v>
      </c>
      <c r="J12" s="66">
        <v>11102</v>
      </c>
      <c r="K12" s="66">
        <v>1906</v>
      </c>
      <c r="L12" s="66"/>
      <c r="M12" s="158">
        <f>SUM(C12:L12)</f>
        <v>52267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253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67</v>
      </c>
      <c r="D19" s="36">
        <v>1</v>
      </c>
      <c r="E19" s="36">
        <v>135</v>
      </c>
      <c r="F19" s="4">
        <v>184</v>
      </c>
      <c r="G19" s="4">
        <v>112</v>
      </c>
      <c r="H19" s="4">
        <v>1</v>
      </c>
      <c r="I19" s="4">
        <v>5</v>
      </c>
      <c r="J19" s="4">
        <v>77</v>
      </c>
      <c r="K19" s="4">
        <v>48</v>
      </c>
      <c r="L19" s="43">
        <f>SUM(C19:K19)</f>
        <v>630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18</v>
      </c>
      <c r="F21" s="4">
        <v>18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61">
        <f>SUM(C21:K21)</f>
        <v>86</v>
      </c>
    </row>
    <row r="22" spans="1:13" x14ac:dyDescent="0.2">
      <c r="A22" s="38"/>
      <c r="B22" s="36" t="s">
        <v>10</v>
      </c>
      <c r="C22" s="4">
        <v>4</v>
      </c>
      <c r="D22" s="4">
        <v>3</v>
      </c>
      <c r="E22" s="4">
        <v>13</v>
      </c>
      <c r="F22" s="4">
        <v>59</v>
      </c>
      <c r="G22" s="4">
        <v>19</v>
      </c>
      <c r="H22" s="4">
        <v>2</v>
      </c>
      <c r="I22" s="4">
        <v>2</v>
      </c>
      <c r="J22" s="4">
        <v>29</v>
      </c>
      <c r="K22" s="4">
        <v>5</v>
      </c>
      <c r="L22" s="61">
        <f>SUM(C22:K22)</f>
        <v>136</v>
      </c>
    </row>
    <row r="23" spans="1:13" ht="13.5" thickBot="1" x14ac:dyDescent="0.25">
      <c r="A23" s="38"/>
      <c r="B23" s="36" t="s">
        <v>9</v>
      </c>
      <c r="C23" s="3">
        <v>137</v>
      </c>
      <c r="D23" s="3">
        <v>75</v>
      </c>
      <c r="E23" s="3">
        <v>368</v>
      </c>
      <c r="F23" s="3">
        <v>402</v>
      </c>
      <c r="G23" s="3">
        <v>280</v>
      </c>
      <c r="H23" s="3">
        <v>15</v>
      </c>
      <c r="I23" s="3">
        <v>15</v>
      </c>
      <c r="J23" s="3">
        <v>669</v>
      </c>
      <c r="K23" s="3">
        <v>184</v>
      </c>
      <c r="L23" s="59">
        <f>SUM(C23:K23)</f>
        <v>2145</v>
      </c>
    </row>
    <row r="24" spans="1:13" ht="13.5" thickTop="1" x14ac:dyDescent="0.2">
      <c r="A24" s="38"/>
      <c r="B24" s="60" t="s">
        <v>14</v>
      </c>
      <c r="C24" s="36">
        <f>SUM(C19:C23)</f>
        <v>210</v>
      </c>
      <c r="D24" s="36">
        <f t="shared" ref="D24:L24" si="1">SUM(D19:D23)</f>
        <v>79</v>
      </c>
      <c r="E24" s="36">
        <f t="shared" si="1"/>
        <v>535</v>
      </c>
      <c r="F24" s="36">
        <f t="shared" si="1"/>
        <v>663</v>
      </c>
      <c r="G24" s="36">
        <f t="shared" si="1"/>
        <v>431</v>
      </c>
      <c r="H24" s="36">
        <f t="shared" si="1"/>
        <v>19</v>
      </c>
      <c r="I24" s="36">
        <f t="shared" si="1"/>
        <v>22</v>
      </c>
      <c r="J24" s="36">
        <f t="shared" si="1"/>
        <v>804</v>
      </c>
      <c r="K24" s="36">
        <f t="shared" si="1"/>
        <v>241</v>
      </c>
      <c r="L24" s="36">
        <f t="shared" si="1"/>
        <v>3004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123</v>
      </c>
      <c r="D27" s="87">
        <v>0</v>
      </c>
      <c r="E27" s="87">
        <v>27.5</v>
      </c>
      <c r="F27" s="87">
        <v>35.75</v>
      </c>
      <c r="G27" s="87">
        <v>43.24</v>
      </c>
      <c r="H27" s="87">
        <v>0</v>
      </c>
      <c r="I27" s="87">
        <v>0</v>
      </c>
      <c r="J27" s="87">
        <v>62.75</v>
      </c>
      <c r="K27" s="87">
        <v>34.75</v>
      </c>
      <c r="L27" s="87">
        <v>0</v>
      </c>
      <c r="M27" s="250">
        <f>SUM(C27:L27)</f>
        <v>326.99</v>
      </c>
    </row>
    <row r="29" spans="1:13" x14ac:dyDescent="0.2">
      <c r="A29" s="181" t="s">
        <v>66</v>
      </c>
      <c r="B29" s="181"/>
      <c r="C29" s="253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101</v>
      </c>
      <c r="D31" s="36">
        <v>8</v>
      </c>
      <c r="E31" s="36">
        <v>80</v>
      </c>
      <c r="F31" s="4">
        <v>215</v>
      </c>
      <c r="G31" s="4">
        <v>155</v>
      </c>
      <c r="H31" s="4">
        <v>271</v>
      </c>
      <c r="I31" s="4">
        <v>4</v>
      </c>
      <c r="J31" s="4">
        <v>199</v>
      </c>
      <c r="K31" s="4">
        <v>20</v>
      </c>
      <c r="L31" s="4">
        <f>SUM(C31:K31)</f>
        <v>1053</v>
      </c>
    </row>
    <row r="32" spans="1:13" x14ac:dyDescent="0.2">
      <c r="B32" s="60" t="s">
        <v>18</v>
      </c>
      <c r="C32" s="36">
        <v>79</v>
      </c>
      <c r="D32" s="36">
        <v>13</v>
      </c>
      <c r="E32" s="36">
        <v>40</v>
      </c>
      <c r="F32" s="4">
        <v>89</v>
      </c>
      <c r="G32" s="4">
        <v>62</v>
      </c>
      <c r="H32" s="4">
        <v>5</v>
      </c>
      <c r="I32" s="4">
        <v>0</v>
      </c>
      <c r="J32" s="4">
        <v>47</v>
      </c>
      <c r="K32" s="4">
        <v>3</v>
      </c>
      <c r="L32" s="4">
        <f>SUM(C32:K32)</f>
        <v>338</v>
      </c>
    </row>
    <row r="33" spans="1:12" x14ac:dyDescent="0.2">
      <c r="B33" s="60" t="s">
        <v>20</v>
      </c>
      <c r="C33" s="36">
        <v>194</v>
      </c>
      <c r="D33" s="36">
        <v>206</v>
      </c>
      <c r="E33" s="36">
        <v>486</v>
      </c>
      <c r="F33" s="36">
        <v>413</v>
      </c>
      <c r="G33" s="4">
        <v>325</v>
      </c>
      <c r="H33" s="4">
        <v>14</v>
      </c>
      <c r="I33" s="36">
        <v>3</v>
      </c>
      <c r="J33" s="4">
        <v>341</v>
      </c>
      <c r="K33" s="36">
        <v>51</v>
      </c>
      <c r="L33" s="4">
        <v>0</v>
      </c>
    </row>
    <row r="34" spans="1:12" x14ac:dyDescent="0.2">
      <c r="B34" s="60" t="s">
        <v>113</v>
      </c>
      <c r="C34" s="4">
        <f>13+13</f>
        <v>26</v>
      </c>
      <c r="D34" s="4">
        <f>3+8</f>
        <v>11</v>
      </c>
      <c r="E34" s="4">
        <f>14+20</f>
        <v>34</v>
      </c>
      <c r="F34" s="4">
        <f>29+25</f>
        <v>54</v>
      </c>
      <c r="G34" s="4">
        <f>16+5</f>
        <v>21</v>
      </c>
      <c r="H34" s="4">
        <f>10+33</f>
        <v>43</v>
      </c>
      <c r="I34" s="4">
        <v>0</v>
      </c>
      <c r="J34" s="4">
        <f>11+19</f>
        <v>30</v>
      </c>
      <c r="K34" s="4">
        <f>5+17</f>
        <v>22</v>
      </c>
      <c r="L34" s="4">
        <f>SUM(C34:K34)</f>
        <v>241</v>
      </c>
    </row>
    <row r="35" spans="1:12" ht="13.5" thickBot="1" x14ac:dyDescent="0.25">
      <c r="B35" s="16" t="s">
        <v>19</v>
      </c>
      <c r="C35" s="3">
        <f t="shared" ref="C35:J35" si="2">C76</f>
        <v>34</v>
      </c>
      <c r="D35" s="3">
        <f t="shared" si="2"/>
        <v>20</v>
      </c>
      <c r="E35" s="3">
        <f t="shared" si="2"/>
        <v>63</v>
      </c>
      <c r="F35" s="3">
        <f t="shared" si="2"/>
        <v>106</v>
      </c>
      <c r="G35" s="3">
        <f t="shared" si="2"/>
        <v>57</v>
      </c>
      <c r="H35" s="3">
        <f t="shared" si="2"/>
        <v>40</v>
      </c>
      <c r="I35" s="3">
        <f t="shared" si="2"/>
        <v>55</v>
      </c>
      <c r="J35" s="3">
        <f t="shared" si="2"/>
        <v>161</v>
      </c>
      <c r="K35" s="3">
        <f>K76</f>
        <v>39</v>
      </c>
      <c r="L35" s="122">
        <f>SUM(C35:K35)</f>
        <v>575</v>
      </c>
    </row>
    <row r="36" spans="1:12" ht="13.5" thickTop="1" x14ac:dyDescent="0.2">
      <c r="B36" s="65" t="s">
        <v>14</v>
      </c>
      <c r="C36" s="45">
        <f t="shared" ref="C36:K36" si="3">SUM(C31:C35)</f>
        <v>434</v>
      </c>
      <c r="D36" s="45">
        <f t="shared" si="3"/>
        <v>258</v>
      </c>
      <c r="E36" s="45">
        <f t="shared" si="3"/>
        <v>703</v>
      </c>
      <c r="F36" s="45">
        <f t="shared" si="3"/>
        <v>877</v>
      </c>
      <c r="G36" s="45">
        <f t="shared" si="3"/>
        <v>620</v>
      </c>
      <c r="H36" s="45">
        <f t="shared" si="3"/>
        <v>373</v>
      </c>
      <c r="I36" s="45">
        <f t="shared" si="3"/>
        <v>62</v>
      </c>
      <c r="J36" s="45">
        <f t="shared" si="3"/>
        <v>778</v>
      </c>
      <c r="K36" s="45">
        <f t="shared" si="3"/>
        <v>135</v>
      </c>
      <c r="L36" s="62">
        <f>SUM(C36:K36)</f>
        <v>4240</v>
      </c>
    </row>
    <row r="38" spans="1:12" x14ac:dyDescent="0.2">
      <c r="A38" s="186" t="s">
        <v>57</v>
      </c>
      <c r="B38" s="187"/>
      <c r="C38" s="40">
        <v>4</v>
      </c>
      <c r="D38" s="40">
        <v>0</v>
      </c>
      <c r="E38" s="40">
        <v>7</v>
      </c>
      <c r="F38" s="66">
        <v>17</v>
      </c>
      <c r="G38" s="66">
        <v>20</v>
      </c>
      <c r="H38" s="66">
        <v>0</v>
      </c>
      <c r="I38" s="66">
        <v>0</v>
      </c>
      <c r="J38" s="66">
        <v>15</v>
      </c>
      <c r="K38" s="66">
        <v>0</v>
      </c>
      <c r="L38" s="66">
        <f>SUM(C38:K38)</f>
        <v>63</v>
      </c>
    </row>
    <row r="39" spans="1:12" ht="13.5" thickBot="1" x14ac:dyDescent="0.25">
      <c r="A39" s="190" t="s">
        <v>158</v>
      </c>
      <c r="B39" s="191"/>
      <c r="C39" s="3">
        <v>0</v>
      </c>
      <c r="D39" s="3">
        <v>0</v>
      </c>
      <c r="E39" s="3">
        <v>0</v>
      </c>
      <c r="F39" s="3">
        <v>39</v>
      </c>
      <c r="G39" s="3">
        <v>63</v>
      </c>
      <c r="H39" s="3">
        <v>10</v>
      </c>
      <c r="I39" s="3">
        <v>0</v>
      </c>
      <c r="J39" s="3">
        <v>389</v>
      </c>
      <c r="K39" s="3">
        <v>0</v>
      </c>
      <c r="L39" s="122">
        <f>SUM(C39:K39)</f>
        <v>501</v>
      </c>
    </row>
    <row r="40" spans="1:12" ht="13.5" thickTop="1" x14ac:dyDescent="0.2">
      <c r="A40" s="71"/>
      <c r="B40" s="60" t="s">
        <v>7</v>
      </c>
      <c r="C40" s="36">
        <f>SUM(C38:C39)</f>
        <v>4</v>
      </c>
      <c r="D40" s="36">
        <f t="shared" ref="D40:K40" si="4">SUM(D38:D39)</f>
        <v>0</v>
      </c>
      <c r="E40" s="36">
        <f t="shared" si="4"/>
        <v>7</v>
      </c>
      <c r="F40" s="36">
        <f t="shared" si="4"/>
        <v>56</v>
      </c>
      <c r="G40" s="36">
        <f t="shared" si="4"/>
        <v>83</v>
      </c>
      <c r="H40" s="36">
        <f t="shared" si="4"/>
        <v>10</v>
      </c>
      <c r="I40" s="36">
        <f t="shared" si="4"/>
        <v>0</v>
      </c>
      <c r="J40" s="36">
        <f t="shared" si="4"/>
        <v>404</v>
      </c>
      <c r="K40" s="36">
        <f t="shared" si="4"/>
        <v>0</v>
      </c>
      <c r="L40" s="128">
        <f>SUM(L38:L39)</f>
        <v>564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6" t="s">
        <v>56</v>
      </c>
      <c r="B42" s="187"/>
      <c r="C42" s="45">
        <v>0</v>
      </c>
      <c r="D42" s="45">
        <v>0</v>
      </c>
      <c r="E42" s="45">
        <v>1</v>
      </c>
      <c r="F42" s="68">
        <v>11</v>
      </c>
      <c r="G42" s="68">
        <v>0</v>
      </c>
      <c r="H42" s="68">
        <v>0</v>
      </c>
      <c r="I42" s="68">
        <v>0</v>
      </c>
      <c r="J42" s="68">
        <v>17</v>
      </c>
      <c r="K42" s="68">
        <v>0</v>
      </c>
      <c r="L42" s="68">
        <f>SUM(C42:K42)</f>
        <v>29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4</v>
      </c>
      <c r="H44" s="40">
        <v>0</v>
      </c>
      <c r="I44" s="40">
        <v>0</v>
      </c>
      <c r="J44" s="40">
        <v>0</v>
      </c>
      <c r="K44" s="40">
        <v>0</v>
      </c>
      <c r="L44" s="40">
        <f>SUM(C44:K44)</f>
        <v>4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f>73+12</f>
        <v>85</v>
      </c>
      <c r="H45" s="45">
        <v>0</v>
      </c>
      <c r="I45" s="45">
        <v>0</v>
      </c>
      <c r="J45" s="45">
        <v>0</v>
      </c>
      <c r="K45" s="45">
        <v>0</v>
      </c>
      <c r="L45" s="45">
        <f>SUM(C45:K45)</f>
        <v>85</v>
      </c>
    </row>
    <row r="46" spans="1:12" x14ac:dyDescent="0.2">
      <c r="A46" s="38"/>
    </row>
    <row r="47" spans="1:12" x14ac:dyDescent="0.2">
      <c r="A47" s="200" t="s">
        <v>19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>
        <v>3</v>
      </c>
      <c r="D49" s="36">
        <v>2</v>
      </c>
      <c r="E49" s="36">
        <v>7</v>
      </c>
      <c r="F49" s="4">
        <v>2</v>
      </c>
      <c r="G49" s="4">
        <v>15</v>
      </c>
      <c r="H49" s="4">
        <v>8</v>
      </c>
      <c r="I49" s="4"/>
      <c r="J49" s="4">
        <v>17</v>
      </c>
      <c r="K49" s="4">
        <v>1</v>
      </c>
      <c r="L49" s="4">
        <f t="shared" ref="L49:L76" si="5">SUM(C49:K49)</f>
        <v>55</v>
      </c>
    </row>
    <row r="50" spans="2:12" x14ac:dyDescent="0.2">
      <c r="B50" s="42" t="s">
        <v>119</v>
      </c>
      <c r="C50" s="36"/>
      <c r="D50" s="36"/>
      <c r="E50" s="4">
        <v>3</v>
      </c>
      <c r="F50" s="36">
        <v>7</v>
      </c>
      <c r="G50" s="36">
        <v>3</v>
      </c>
      <c r="H50" s="4">
        <v>2</v>
      </c>
      <c r="I50" s="36">
        <v>1</v>
      </c>
      <c r="J50" s="4">
        <v>2</v>
      </c>
      <c r="K50" s="36"/>
      <c r="L50" s="4">
        <f t="shared" si="5"/>
        <v>18</v>
      </c>
    </row>
    <row r="51" spans="2:12" x14ac:dyDescent="0.2">
      <c r="B51" s="42" t="s">
        <v>108</v>
      </c>
      <c r="C51" s="36">
        <v>1</v>
      </c>
      <c r="D51" s="36"/>
      <c r="E51" s="36">
        <v>7</v>
      </c>
      <c r="F51" s="36">
        <v>1</v>
      </c>
      <c r="G51" s="36">
        <v>4</v>
      </c>
      <c r="H51" s="4"/>
      <c r="I51" s="36"/>
      <c r="J51" s="4">
        <v>39</v>
      </c>
      <c r="K51" s="4"/>
      <c r="L51" s="4">
        <f t="shared" si="5"/>
        <v>52</v>
      </c>
    </row>
    <row r="52" spans="2:12" x14ac:dyDescent="0.2">
      <c r="B52" s="42" t="s">
        <v>144</v>
      </c>
      <c r="C52" s="36"/>
      <c r="D52" s="36">
        <v>4</v>
      </c>
      <c r="E52" s="36"/>
      <c r="F52" s="36"/>
      <c r="G52" s="36"/>
      <c r="H52" s="36"/>
      <c r="I52" s="36"/>
      <c r="J52" s="4"/>
      <c r="K52" s="4">
        <v>2</v>
      </c>
      <c r="L52" s="4">
        <f t="shared" si="5"/>
        <v>6</v>
      </c>
    </row>
    <row r="53" spans="2:12" x14ac:dyDescent="0.2">
      <c r="B53" s="42" t="s">
        <v>159</v>
      </c>
      <c r="C53" s="4">
        <v>3</v>
      </c>
      <c r="D53" s="36"/>
      <c r="E53" s="36"/>
      <c r="F53" s="4">
        <v>2</v>
      </c>
      <c r="G53" s="4">
        <v>7</v>
      </c>
      <c r="H53" s="36">
        <v>1</v>
      </c>
      <c r="I53" s="36"/>
      <c r="J53" s="4">
        <v>12</v>
      </c>
      <c r="K53" s="4">
        <v>7</v>
      </c>
      <c r="L53" s="4">
        <f t="shared" si="5"/>
        <v>32</v>
      </c>
    </row>
    <row r="54" spans="2:12" x14ac:dyDescent="0.2">
      <c r="B54" s="42" t="s">
        <v>109</v>
      </c>
      <c r="C54" s="4"/>
      <c r="D54" s="36"/>
      <c r="E54" s="4"/>
      <c r="F54" s="4"/>
      <c r="G54" s="36"/>
      <c r="H54" s="36"/>
      <c r="I54" s="36"/>
      <c r="J54" s="4"/>
      <c r="K54" s="36"/>
      <c r="L54" s="4">
        <f t="shared" si="5"/>
        <v>0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4">
        <f>SUM(C55:K55)</f>
        <v>0</v>
      </c>
    </row>
    <row r="56" spans="2:12" x14ac:dyDescent="0.2">
      <c r="B56" s="42" t="s">
        <v>93</v>
      </c>
      <c r="C56" s="36">
        <v>3</v>
      </c>
      <c r="D56" s="36">
        <v>3</v>
      </c>
      <c r="E56" s="4">
        <v>3</v>
      </c>
      <c r="F56" s="4"/>
      <c r="G56" s="4"/>
      <c r="H56" s="4"/>
      <c r="I56" s="4"/>
      <c r="J56" s="4">
        <v>1</v>
      </c>
      <c r="K56" s="4">
        <v>1</v>
      </c>
      <c r="L56" s="4">
        <f t="shared" si="5"/>
        <v>11</v>
      </c>
    </row>
    <row r="57" spans="2:12" x14ac:dyDescent="0.2">
      <c r="B57" s="42" t="s">
        <v>130</v>
      </c>
      <c r="C57" s="36"/>
      <c r="D57" s="36"/>
      <c r="E57" s="36"/>
      <c r="F57" s="4">
        <v>2</v>
      </c>
      <c r="G57" s="4">
        <v>3</v>
      </c>
      <c r="H57" s="4"/>
      <c r="I57" s="36"/>
      <c r="J57" s="36">
        <v>4</v>
      </c>
      <c r="K57" s="4"/>
      <c r="L57" s="4">
        <f t="shared" si="5"/>
        <v>9</v>
      </c>
    </row>
    <row r="58" spans="2:12" x14ac:dyDescent="0.2">
      <c r="B58" s="42" t="s">
        <v>107</v>
      </c>
      <c r="C58" s="36">
        <v>7</v>
      </c>
      <c r="D58" s="36">
        <v>5</v>
      </c>
      <c r="E58" s="4">
        <v>1</v>
      </c>
      <c r="F58" s="4">
        <v>16</v>
      </c>
      <c r="G58" s="4">
        <v>2</v>
      </c>
      <c r="H58" s="4"/>
      <c r="I58" s="36"/>
      <c r="J58" s="4">
        <v>4</v>
      </c>
      <c r="K58" s="4">
        <v>1</v>
      </c>
      <c r="L58" s="4">
        <f t="shared" si="5"/>
        <v>36</v>
      </c>
    </row>
    <row r="59" spans="2:12" x14ac:dyDescent="0.2">
      <c r="B59" s="42" t="s">
        <v>110</v>
      </c>
      <c r="C59" s="36"/>
      <c r="D59" s="36"/>
      <c r="E59" s="4"/>
      <c r="F59" s="4"/>
      <c r="G59" s="4">
        <v>1</v>
      </c>
      <c r="H59" s="4"/>
      <c r="I59" s="36"/>
      <c r="J59" s="4"/>
      <c r="K59" s="4"/>
      <c r="L59" s="4">
        <f t="shared" si="5"/>
        <v>1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/>
      <c r="J60" s="4"/>
      <c r="K60" s="4"/>
      <c r="L60" s="4">
        <f t="shared" si="5"/>
        <v>0</v>
      </c>
    </row>
    <row r="61" spans="2:12" x14ac:dyDescent="0.2">
      <c r="B61" s="38" t="s">
        <v>42</v>
      </c>
      <c r="C61" s="36">
        <v>4</v>
      </c>
      <c r="D61" s="36">
        <v>3</v>
      </c>
      <c r="E61" s="4">
        <v>18</v>
      </c>
      <c r="F61" s="4">
        <v>29</v>
      </c>
      <c r="G61" s="4">
        <v>10</v>
      </c>
      <c r="H61" s="4">
        <v>6</v>
      </c>
      <c r="I61" s="4">
        <v>21</v>
      </c>
      <c r="J61" s="4">
        <v>18</v>
      </c>
      <c r="K61" s="4">
        <v>6</v>
      </c>
      <c r="L61" s="4">
        <f t="shared" si="5"/>
        <v>115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>
        <v>1</v>
      </c>
      <c r="K62" s="4"/>
      <c r="L62" s="4">
        <f t="shared" si="5"/>
        <v>1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5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5"/>
        <v>0</v>
      </c>
    </row>
    <row r="65" spans="1:13" x14ac:dyDescent="0.2">
      <c r="B65" s="42" t="s">
        <v>163</v>
      </c>
      <c r="C65" s="36"/>
      <c r="D65" s="36"/>
      <c r="E65" s="36">
        <v>2</v>
      </c>
      <c r="F65" s="36">
        <v>3</v>
      </c>
      <c r="G65" s="4">
        <v>3</v>
      </c>
      <c r="H65" s="4">
        <v>3</v>
      </c>
      <c r="I65" s="4"/>
      <c r="J65" s="4"/>
      <c r="K65" s="4"/>
      <c r="L65" s="4">
        <f t="shared" si="5"/>
        <v>11</v>
      </c>
    </row>
    <row r="66" spans="1:13" x14ac:dyDescent="0.2">
      <c r="B66" s="38" t="s">
        <v>83</v>
      </c>
      <c r="C66" s="4"/>
      <c r="D66" s="4"/>
      <c r="E66" s="4">
        <v>12</v>
      </c>
      <c r="F66" s="4">
        <v>4</v>
      </c>
      <c r="G66" s="4"/>
      <c r="H66" s="4">
        <v>13</v>
      </c>
      <c r="I66" s="4">
        <v>29</v>
      </c>
      <c r="J66" s="4">
        <v>19</v>
      </c>
      <c r="K66" s="4">
        <v>17</v>
      </c>
      <c r="L66" s="4">
        <f t="shared" si="5"/>
        <v>94</v>
      </c>
    </row>
    <row r="67" spans="1:13" x14ac:dyDescent="0.2">
      <c r="B67" s="42" t="s">
        <v>161</v>
      </c>
      <c r="C67" s="4"/>
      <c r="D67" s="4"/>
      <c r="E67" s="4"/>
      <c r="F67" s="4"/>
      <c r="G67" s="4"/>
      <c r="H67" s="4"/>
      <c r="I67" s="4"/>
      <c r="J67" s="4"/>
      <c r="K67" s="4"/>
      <c r="L67" s="4">
        <f t="shared" si="5"/>
        <v>0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5"/>
        <v>0</v>
      </c>
    </row>
    <row r="69" spans="1:13" x14ac:dyDescent="0.2">
      <c r="B69" s="42" t="s">
        <v>94</v>
      </c>
      <c r="C69" s="4">
        <v>3</v>
      </c>
      <c r="D69" s="36"/>
      <c r="E69" s="4">
        <v>1</v>
      </c>
      <c r="F69" s="4">
        <v>19</v>
      </c>
      <c r="G69" s="4">
        <v>1</v>
      </c>
      <c r="H69" s="4">
        <v>2</v>
      </c>
      <c r="I69" s="4"/>
      <c r="J69" s="4">
        <v>5</v>
      </c>
      <c r="K69" s="4"/>
      <c r="L69" s="4">
        <f t="shared" si="5"/>
        <v>31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5"/>
        <v>0</v>
      </c>
    </row>
    <row r="71" spans="1:13" x14ac:dyDescent="0.2">
      <c r="B71" s="42" t="s">
        <v>44</v>
      </c>
      <c r="C71" s="4">
        <v>10</v>
      </c>
      <c r="D71" s="36">
        <v>2</v>
      </c>
      <c r="E71" s="4">
        <v>8</v>
      </c>
      <c r="F71" s="4">
        <v>19</v>
      </c>
      <c r="G71" s="4">
        <v>8</v>
      </c>
      <c r="H71" s="4">
        <v>5</v>
      </c>
      <c r="I71" s="4">
        <v>4</v>
      </c>
      <c r="J71" s="4">
        <v>29</v>
      </c>
      <c r="K71" s="4">
        <v>4</v>
      </c>
      <c r="L71" s="4">
        <f t="shared" si="5"/>
        <v>89</v>
      </c>
    </row>
    <row r="72" spans="1:13" x14ac:dyDescent="0.2">
      <c r="B72" s="42" t="s">
        <v>43</v>
      </c>
      <c r="C72" s="36"/>
      <c r="D72" s="36"/>
      <c r="E72" s="36"/>
      <c r="F72" s="4"/>
      <c r="G72" s="4"/>
      <c r="H72" s="4"/>
      <c r="I72" s="4"/>
      <c r="J72" s="36"/>
      <c r="K72" s="4"/>
      <c r="L72" s="4">
        <f t="shared" si="5"/>
        <v>0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4">
        <f t="shared" si="5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36"/>
      <c r="K74" s="4"/>
      <c r="L74" s="4">
        <f t="shared" si="5"/>
        <v>0</v>
      </c>
    </row>
    <row r="75" spans="1:13" ht="13.5" thickBot="1" x14ac:dyDescent="0.25">
      <c r="B75" s="80" t="s">
        <v>67</v>
      </c>
      <c r="C75" s="3"/>
      <c r="D75" s="3">
        <v>1</v>
      </c>
      <c r="E75" s="3">
        <v>1</v>
      </c>
      <c r="F75" s="3">
        <v>2</v>
      </c>
      <c r="G75" s="3"/>
      <c r="H75" s="3"/>
      <c r="I75" s="3"/>
      <c r="J75" s="3">
        <v>10</v>
      </c>
      <c r="K75" s="3"/>
      <c r="L75" s="122">
        <f t="shared" si="5"/>
        <v>14</v>
      </c>
    </row>
    <row r="76" spans="1:13" ht="13.5" thickTop="1" x14ac:dyDescent="0.2">
      <c r="B76" s="69" t="s">
        <v>7</v>
      </c>
      <c r="C76" s="45">
        <f t="shared" ref="C76:K76" si="6">SUM(C49:C75)</f>
        <v>34</v>
      </c>
      <c r="D76" s="45">
        <f t="shared" si="6"/>
        <v>20</v>
      </c>
      <c r="E76" s="45">
        <f t="shared" si="6"/>
        <v>63</v>
      </c>
      <c r="F76" s="45">
        <f t="shared" si="6"/>
        <v>106</v>
      </c>
      <c r="G76" s="45">
        <f t="shared" si="6"/>
        <v>57</v>
      </c>
      <c r="H76" s="45">
        <f t="shared" si="6"/>
        <v>40</v>
      </c>
      <c r="I76" s="45">
        <f t="shared" si="6"/>
        <v>55</v>
      </c>
      <c r="J76" s="45">
        <f t="shared" si="6"/>
        <v>161</v>
      </c>
      <c r="K76" s="45">
        <f t="shared" si="6"/>
        <v>39</v>
      </c>
      <c r="L76" s="123">
        <f t="shared" si="5"/>
        <v>575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215"/>
      <c r="M78" s="6"/>
    </row>
    <row r="79" spans="1:13" x14ac:dyDescent="0.2">
      <c r="A79" s="94" t="s">
        <v>123</v>
      </c>
      <c r="C79" s="43">
        <v>11</v>
      </c>
      <c r="D79" s="6"/>
      <c r="E79" s="38" t="s">
        <v>9</v>
      </c>
      <c r="F79" s="36"/>
      <c r="G79" s="43">
        <v>427</v>
      </c>
      <c r="I79" s="42" t="s">
        <v>133</v>
      </c>
      <c r="J79" s="36"/>
      <c r="K79" s="36"/>
      <c r="L79" s="43">
        <v>509</v>
      </c>
      <c r="M79" s="6"/>
    </row>
    <row r="80" spans="1:13" x14ac:dyDescent="0.2">
      <c r="A80" s="42" t="s">
        <v>29</v>
      </c>
      <c r="B80" s="36"/>
      <c r="C80" s="43">
        <v>10</v>
      </c>
      <c r="D80" s="6"/>
      <c r="E80" s="38" t="s">
        <v>10</v>
      </c>
      <c r="F80" s="36"/>
      <c r="G80" s="43">
        <v>181</v>
      </c>
      <c r="I80" s="42" t="s">
        <v>134</v>
      </c>
      <c r="J80" s="36"/>
      <c r="K80" s="36"/>
      <c r="L80" s="43">
        <v>104</v>
      </c>
      <c r="M80" s="6"/>
    </row>
    <row r="81" spans="1:13" x14ac:dyDescent="0.2">
      <c r="A81" s="42" t="s">
        <v>124</v>
      </c>
      <c r="B81" s="36"/>
      <c r="C81" s="43">
        <v>57</v>
      </c>
      <c r="D81" s="6"/>
      <c r="E81" s="38" t="s">
        <v>11</v>
      </c>
      <c r="F81" s="36"/>
      <c r="G81" s="43">
        <v>26</v>
      </c>
      <c r="I81" s="42" t="s">
        <v>46</v>
      </c>
      <c r="J81" s="36"/>
      <c r="K81" s="36"/>
      <c r="L81" s="43">
        <v>50</v>
      </c>
      <c r="M81" s="6"/>
    </row>
    <row r="82" spans="1:13" x14ac:dyDescent="0.2">
      <c r="A82" s="42" t="s">
        <v>125</v>
      </c>
      <c r="B82" s="57"/>
      <c r="C82" s="43">
        <v>400</v>
      </c>
      <c r="D82" s="6"/>
      <c r="E82" s="38" t="s">
        <v>38</v>
      </c>
      <c r="F82" s="36"/>
      <c r="G82" s="43">
        <v>149</v>
      </c>
      <c r="I82" s="42" t="s">
        <v>47</v>
      </c>
      <c r="J82" s="36"/>
      <c r="K82" s="36"/>
      <c r="L82" s="43">
        <v>14</v>
      </c>
      <c r="M82" s="6"/>
    </row>
    <row r="83" spans="1:13" x14ac:dyDescent="0.2">
      <c r="A83" s="42" t="s">
        <v>106</v>
      </c>
      <c r="B83" s="57"/>
      <c r="C83" s="43">
        <f>35+31+7</f>
        <v>73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5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16</v>
      </c>
    </row>
    <row r="86" spans="1:13" x14ac:dyDescent="0.2">
      <c r="A86" s="42" t="s">
        <v>126</v>
      </c>
      <c r="B86" s="36"/>
      <c r="C86" s="43">
        <v>9</v>
      </c>
      <c r="E86" s="186" t="s">
        <v>31</v>
      </c>
      <c r="F86" s="193"/>
      <c r="G86" s="194"/>
      <c r="H86" s="215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45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54</v>
      </c>
    </row>
    <row r="89" spans="1:13" x14ac:dyDescent="0.2">
      <c r="A89" s="104" t="s">
        <v>18</v>
      </c>
      <c r="C89" s="61">
        <v>28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v>598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415</v>
      </c>
      <c r="C95" s="19"/>
      <c r="D95" s="19">
        <v>3093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/>
      <c r="E96" s="17"/>
      <c r="F96" t="s">
        <v>416</v>
      </c>
      <c r="H96" s="1"/>
      <c r="I96" s="71" t="s">
        <v>139</v>
      </c>
      <c r="J96" s="60"/>
      <c r="M96" s="43"/>
    </row>
    <row r="97" spans="1:13" x14ac:dyDescent="0.2">
      <c r="A97" s="1"/>
      <c r="B97" s="17" t="s">
        <v>147</v>
      </c>
      <c r="C97" s="17"/>
      <c r="D97" s="17">
        <v>193</v>
      </c>
      <c r="E97" s="17">
        <v>278</v>
      </c>
      <c r="I97" s="42" t="s">
        <v>140</v>
      </c>
      <c r="K97" s="36"/>
      <c r="L97" s="36">
        <v>206</v>
      </c>
      <c r="M97" s="43"/>
    </row>
    <row r="98" spans="1:13" x14ac:dyDescent="0.2">
      <c r="B98" s="22" t="s">
        <v>102</v>
      </c>
      <c r="C98" s="22"/>
      <c r="D98" s="132">
        <v>1252</v>
      </c>
      <c r="E98" s="22"/>
      <c r="I98" s="71" t="s">
        <v>154</v>
      </c>
      <c r="J98" s="60"/>
      <c r="K98" s="60"/>
      <c r="L98" s="57">
        <v>146</v>
      </c>
      <c r="M98" s="74"/>
    </row>
    <row r="99" spans="1:13" x14ac:dyDescent="0.2">
      <c r="B99" s="37" t="s">
        <v>151</v>
      </c>
      <c r="C99" s="22"/>
      <c r="D99" s="22">
        <v>110</v>
      </c>
      <c r="E99" s="22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219</v>
      </c>
      <c r="E100" s="22"/>
      <c r="H100" s="1"/>
      <c r="I100" s="69"/>
      <c r="J100" s="65"/>
      <c r="K100" s="98"/>
      <c r="L100" s="98"/>
      <c r="M100" s="99"/>
    </row>
    <row r="101" spans="1:13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37"/>
      <c r="H102" s="1"/>
      <c r="I102" s="199" t="s">
        <v>112</v>
      </c>
      <c r="J102" s="199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195</v>
      </c>
      <c r="E103" s="37"/>
      <c r="I103" s="102" t="s">
        <v>116</v>
      </c>
      <c r="J103" s="40"/>
      <c r="K103" s="103">
        <v>2198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146</v>
      </c>
      <c r="E104" s="37"/>
      <c r="I104" s="104" t="s">
        <v>101</v>
      </c>
      <c r="J104" s="4"/>
      <c r="K104" s="105">
        <v>268</v>
      </c>
      <c r="L104" s="93"/>
      <c r="M104" s="93"/>
    </row>
    <row r="105" spans="1:13" x14ac:dyDescent="0.2">
      <c r="B105" s="21" t="s">
        <v>99</v>
      </c>
      <c r="C105" s="21"/>
      <c r="D105" s="20">
        <v>97</v>
      </c>
      <c r="E105" s="20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39">
        <v>107</v>
      </c>
      <c r="E107" s="17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21"/>
      <c r="I108" s="110" t="s">
        <v>23</v>
      </c>
      <c r="J108" s="101"/>
      <c r="K108" s="36">
        <v>2</v>
      </c>
      <c r="L108" s="36">
        <v>2</v>
      </c>
      <c r="M108" s="109">
        <f>SUM(K108:L108)</f>
        <v>4</v>
      </c>
    </row>
    <row r="109" spans="1:13" x14ac:dyDescent="0.2">
      <c r="A109" s="1" t="s">
        <v>77</v>
      </c>
      <c r="B109" s="20" t="s">
        <v>82</v>
      </c>
      <c r="C109" s="20"/>
      <c r="D109" s="17">
        <v>18</v>
      </c>
      <c r="E109" s="17">
        <v>155</v>
      </c>
      <c r="I109" s="110" t="s">
        <v>24</v>
      </c>
      <c r="J109" s="101"/>
      <c r="K109" s="36">
        <v>17</v>
      </c>
      <c r="L109" s="36">
        <v>1</v>
      </c>
      <c r="M109" s="109">
        <f>SUM(K109:L109)</f>
        <v>18</v>
      </c>
    </row>
    <row r="110" spans="1:13" x14ac:dyDescent="0.2">
      <c r="A110" s="1"/>
      <c r="B110" s="115" t="s">
        <v>153</v>
      </c>
      <c r="D110" s="20">
        <v>50</v>
      </c>
      <c r="E110" s="20"/>
      <c r="I110" s="110" t="s">
        <v>156</v>
      </c>
      <c r="J110" s="101"/>
      <c r="K110" s="36">
        <v>0</v>
      </c>
      <c r="L110" s="36"/>
      <c r="M110" s="109">
        <f>SUM(K110:L110)</f>
        <v>0</v>
      </c>
    </row>
    <row r="111" spans="1:13" x14ac:dyDescent="0.2">
      <c r="A111" s="1"/>
      <c r="B111" s="39" t="s">
        <v>182</v>
      </c>
      <c r="C111" s="20"/>
      <c r="D111" s="116">
        <v>4145</v>
      </c>
      <c r="E111" s="20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116">
        <v>299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278</v>
      </c>
      <c r="E113" s="20"/>
      <c r="I113" s="253" t="s">
        <v>111</v>
      </c>
      <c r="J113" s="253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116">
        <v>410</v>
      </c>
      <c r="E114" s="20"/>
      <c r="I114" s="253" t="s">
        <v>143</v>
      </c>
      <c r="J114" s="253"/>
      <c r="K114" s="121">
        <v>7</v>
      </c>
      <c r="L114" s="94" t="s">
        <v>145</v>
      </c>
      <c r="M114" s="101"/>
    </row>
    <row r="115" spans="1:13" x14ac:dyDescent="0.2">
      <c r="D115">
        <f>SUM(D95:D114)</f>
        <v>10612</v>
      </c>
      <c r="E115">
        <f>SUM(E95:E114)</f>
        <v>433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7"/>
      <c r="D117" s="127"/>
      <c r="E117" s="126"/>
      <c r="F117" s="127"/>
    </row>
    <row r="118" spans="1:13" x14ac:dyDescent="0.2">
      <c r="A118" s="181" t="s">
        <v>58</v>
      </c>
      <c r="B118" s="259"/>
      <c r="C118" s="45"/>
      <c r="D118" s="45"/>
    </row>
    <row r="119" spans="1:13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</row>
    <row r="122" spans="1:13" x14ac:dyDescent="0.2">
      <c r="A122" s="71" t="s">
        <v>105</v>
      </c>
      <c r="B122" s="57">
        <v>47237</v>
      </c>
      <c r="C122" s="36">
        <f>86+42+23</f>
        <v>151</v>
      </c>
      <c r="D122" s="36">
        <v>1460</v>
      </c>
      <c r="E122" s="4">
        <f>4+43+14+8+83+25+30+67+30+1</f>
        <v>305</v>
      </c>
      <c r="F122" s="4">
        <f>55+3+20+4+2+1+5+4+5+2+2+38+15+11+4+71+3+4+2+9+3+10+2+6+19+15+4+8+1+15+2+24+7+1+7+3+12+13+9+3+24+5+3+1+2+3</f>
        <v>462</v>
      </c>
      <c r="G122" s="36">
        <v>1052</v>
      </c>
      <c r="H122" s="4">
        <f>20+188+1679</f>
        <v>1887</v>
      </c>
      <c r="I122" s="4">
        <v>94</v>
      </c>
      <c r="J122" s="36">
        <v>0</v>
      </c>
      <c r="K122" s="36">
        <v>6957</v>
      </c>
      <c r="L122" s="36">
        <v>634</v>
      </c>
      <c r="M122">
        <f>SUM(B122:L122)</f>
        <v>60239</v>
      </c>
    </row>
    <row r="123" spans="1:13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5"/>
    </row>
    <row r="124" spans="1:13" x14ac:dyDescent="0.2">
      <c r="A124" s="48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63</v>
      </c>
      <c r="F126" s="186" t="s">
        <v>49</v>
      </c>
      <c r="G126" s="187"/>
      <c r="H126" s="75">
        <v>2</v>
      </c>
      <c r="J126" s="186" t="s">
        <v>75</v>
      </c>
      <c r="K126" s="187"/>
      <c r="L126" s="186"/>
      <c r="M126" s="41">
        <v>7</v>
      </c>
    </row>
    <row r="127" spans="1:13" x14ac:dyDescent="0.2">
      <c r="A127" s="203" t="s">
        <v>84</v>
      </c>
      <c r="B127" s="200"/>
      <c r="C127" s="49">
        <v>129</v>
      </c>
      <c r="F127" s="190" t="s">
        <v>50</v>
      </c>
      <c r="G127" s="191"/>
      <c r="H127" s="76">
        <v>0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0</v>
      </c>
      <c r="D128" s="2"/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124</v>
      </c>
      <c r="D132" s="36">
        <v>78</v>
      </c>
      <c r="E132" s="36">
        <v>672</v>
      </c>
      <c r="F132" s="4">
        <v>493</v>
      </c>
      <c r="G132" s="4">
        <v>270</v>
      </c>
      <c r="H132" s="4">
        <v>14</v>
      </c>
      <c r="I132" s="4">
        <v>56</v>
      </c>
      <c r="J132" s="4">
        <v>318</v>
      </c>
      <c r="K132" s="4">
        <v>531</v>
      </c>
      <c r="L132" s="4">
        <f>SUM(C132:K132)</f>
        <v>2556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3" t="s">
        <v>181</v>
      </c>
      <c r="F133" s="133">
        <v>276</v>
      </c>
      <c r="G133" s="133" t="s">
        <v>181</v>
      </c>
      <c r="H133" s="133" t="s">
        <v>181</v>
      </c>
      <c r="I133" s="133" t="s">
        <v>181</v>
      </c>
      <c r="J133" s="133">
        <v>222</v>
      </c>
      <c r="K133" s="133" t="s">
        <v>181</v>
      </c>
      <c r="L133" s="4">
        <f>SUM(C133:K133)</f>
        <v>498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6</v>
      </c>
      <c r="E134" s="208">
        <v>0</v>
      </c>
      <c r="F134" s="208">
        <v>18</v>
      </c>
      <c r="G134" s="208">
        <v>0</v>
      </c>
      <c r="H134" s="208">
        <v>0</v>
      </c>
      <c r="I134" s="135" t="s">
        <v>181</v>
      </c>
      <c r="J134" s="208">
        <v>1</v>
      </c>
      <c r="K134" s="208">
        <v>0</v>
      </c>
      <c r="L134" s="18">
        <f>SUM(C134:K134)</f>
        <v>25</v>
      </c>
    </row>
    <row r="135" spans="1:13" ht="13.5" thickTop="1" x14ac:dyDescent="0.2">
      <c r="B135" s="60" t="s">
        <v>14</v>
      </c>
      <c r="C135" s="36">
        <f>SUM(C132:C134)</f>
        <v>124</v>
      </c>
      <c r="D135" s="36">
        <f>SUM(D132:D134)</f>
        <v>84</v>
      </c>
      <c r="E135" s="36">
        <f t="shared" ref="E135:L135" si="7">SUM(E132:E134)</f>
        <v>672</v>
      </c>
      <c r="F135" s="36">
        <f t="shared" si="7"/>
        <v>787</v>
      </c>
      <c r="G135" s="36">
        <f t="shared" si="7"/>
        <v>270</v>
      </c>
      <c r="H135" s="36">
        <f t="shared" si="7"/>
        <v>14</v>
      </c>
      <c r="I135" s="36">
        <f t="shared" si="7"/>
        <v>56</v>
      </c>
      <c r="J135" s="36">
        <f t="shared" si="7"/>
        <v>541</v>
      </c>
      <c r="K135" s="36">
        <f t="shared" si="7"/>
        <v>531</v>
      </c>
      <c r="L135" s="57">
        <f t="shared" si="7"/>
        <v>3079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1" t="s">
        <v>85</v>
      </c>
      <c r="B139" s="259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56" t="s">
        <v>468</v>
      </c>
      <c r="B141" s="27"/>
      <c r="C141" s="27"/>
      <c r="D141" s="27"/>
      <c r="E141" s="27"/>
      <c r="F141" s="28"/>
      <c r="G141" s="89"/>
      <c r="H141" s="29"/>
      <c r="I141" s="82"/>
      <c r="J141" s="83"/>
      <c r="K141" s="84"/>
      <c r="L141" s="84"/>
      <c r="M141" s="119"/>
    </row>
    <row r="142" spans="1:13" ht="18" x14ac:dyDescent="0.25">
      <c r="A142" s="38" t="s">
        <v>472</v>
      </c>
      <c r="B142" s="27"/>
      <c r="C142" s="27"/>
      <c r="D142" s="27"/>
      <c r="E142" s="27"/>
      <c r="F142" s="82"/>
      <c r="G142" s="83"/>
      <c r="H142" s="82"/>
      <c r="I142" s="82"/>
      <c r="J142" s="82"/>
      <c r="K142" s="85"/>
      <c r="L142" s="85"/>
      <c r="M142" s="86"/>
    </row>
    <row r="143" spans="1:13" x14ac:dyDescent="0.2">
      <c r="A143" s="38"/>
      <c r="B143" s="27"/>
      <c r="C143" s="27"/>
      <c r="D143" s="27"/>
      <c r="E143" s="27"/>
      <c r="F143" s="28"/>
      <c r="G143" s="82"/>
      <c r="H143" s="82"/>
      <c r="I143" s="82"/>
      <c r="J143" s="82"/>
      <c r="K143" s="85"/>
      <c r="L143" s="85"/>
      <c r="M143" s="86"/>
    </row>
    <row r="144" spans="1:13" x14ac:dyDescent="0.2">
      <c r="A144" s="34" t="s">
        <v>164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43"/>
    </row>
    <row r="145" spans="1:17" ht="18" x14ac:dyDescent="0.25">
      <c r="A145" s="88" t="s">
        <v>469</v>
      </c>
      <c r="B145" s="89"/>
      <c r="C145" s="27"/>
      <c r="D145" s="27"/>
      <c r="E145" s="27"/>
      <c r="F145" s="82"/>
      <c r="G145" s="35" t="s">
        <v>168</v>
      </c>
      <c r="H145" s="82"/>
      <c r="I145" s="29"/>
      <c r="J145" s="55"/>
      <c r="K145" s="27"/>
      <c r="L145" s="27"/>
      <c r="M145" s="30"/>
    </row>
    <row r="146" spans="1:17" ht="18" x14ac:dyDescent="0.25">
      <c r="A146" s="56" t="s">
        <v>486</v>
      </c>
      <c r="B146" s="27"/>
      <c r="C146" s="27"/>
      <c r="D146" s="27"/>
      <c r="E146" s="27"/>
      <c r="F146" s="82"/>
      <c r="G146" s="89" t="s">
        <v>482</v>
      </c>
      <c r="H146" s="29"/>
      <c r="I146" s="82"/>
      <c r="J146" s="82"/>
      <c r="K146" s="27"/>
      <c r="L146" s="27"/>
      <c r="M146" s="30"/>
    </row>
    <row r="147" spans="1:17" ht="18" x14ac:dyDescent="0.25">
      <c r="A147" s="56" t="s">
        <v>474</v>
      </c>
      <c r="B147" s="89"/>
      <c r="C147" s="27"/>
      <c r="D147" s="27"/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7" x14ac:dyDescent="0.2">
      <c r="A148" s="56" t="s">
        <v>485</v>
      </c>
      <c r="B148" s="35"/>
      <c r="C148" s="35"/>
      <c r="D148" s="27"/>
      <c r="E148" s="35"/>
      <c r="F148" s="92"/>
      <c r="G148" s="36"/>
      <c r="H148" s="36"/>
      <c r="I148" s="82"/>
      <c r="J148" s="82"/>
      <c r="K148" s="27"/>
      <c r="L148" s="27"/>
      <c r="M148" s="30"/>
      <c r="Q148" t="s">
        <v>197</v>
      </c>
    </row>
    <row r="149" spans="1:17" x14ac:dyDescent="0.2">
      <c r="A149" s="56" t="s">
        <v>475</v>
      </c>
      <c r="B149" s="27"/>
      <c r="C149" s="27"/>
      <c r="D149" s="27"/>
      <c r="E149" s="27"/>
      <c r="F149" s="92"/>
      <c r="G149" s="131" t="s">
        <v>170</v>
      </c>
      <c r="H149" s="36"/>
      <c r="I149" s="82"/>
      <c r="J149" s="82"/>
      <c r="K149" s="27"/>
      <c r="L149" s="27"/>
      <c r="M149" s="30"/>
    </row>
    <row r="150" spans="1:17" ht="18" x14ac:dyDescent="0.25">
      <c r="A150" s="56" t="s">
        <v>476</v>
      </c>
      <c r="B150" s="27"/>
      <c r="C150" s="27"/>
      <c r="D150" s="27"/>
      <c r="E150" s="27"/>
      <c r="F150" s="92"/>
      <c r="G150" s="89" t="s">
        <v>467</v>
      </c>
      <c r="H150" s="36"/>
      <c r="I150" s="29"/>
      <c r="J150" s="29"/>
      <c r="K150" s="27"/>
      <c r="L150" s="27"/>
      <c r="M150" s="30"/>
    </row>
    <row r="151" spans="1:17" ht="18" x14ac:dyDescent="0.25">
      <c r="A151" s="88" t="s">
        <v>487</v>
      </c>
      <c r="B151" s="36"/>
      <c r="C151" s="36"/>
      <c r="D151" s="36"/>
      <c r="E151" s="36"/>
      <c r="F151" s="28"/>
      <c r="G151" s="89" t="s">
        <v>470</v>
      </c>
      <c r="H151" s="36"/>
      <c r="I151" s="29"/>
      <c r="J151" s="29"/>
      <c r="K151" s="27"/>
      <c r="L151" s="27"/>
      <c r="M151" s="30"/>
    </row>
    <row r="152" spans="1:17" x14ac:dyDescent="0.2">
      <c r="A152" s="88" t="s">
        <v>488</v>
      </c>
      <c r="B152" s="27"/>
      <c r="C152" s="27"/>
      <c r="D152" s="27"/>
      <c r="E152" s="27"/>
      <c r="F152" s="28"/>
      <c r="G152" s="118" t="s">
        <v>471</v>
      </c>
      <c r="H152" s="36"/>
      <c r="I152" s="82"/>
      <c r="J152" s="82"/>
      <c r="K152" s="85"/>
      <c r="L152" s="85"/>
      <c r="M152" s="86"/>
    </row>
    <row r="153" spans="1:17" x14ac:dyDescent="0.2">
      <c r="A153" s="34"/>
      <c r="B153" s="27"/>
      <c r="C153" s="27"/>
      <c r="D153" s="27"/>
      <c r="E153" s="27"/>
      <c r="F153" s="28"/>
      <c r="G153" s="118" t="s">
        <v>473</v>
      </c>
      <c r="H153" s="36"/>
      <c r="I153" s="82"/>
      <c r="J153" s="82"/>
      <c r="K153" s="85"/>
      <c r="L153" s="85"/>
      <c r="M153" s="86"/>
    </row>
    <row r="154" spans="1:17" x14ac:dyDescent="0.2">
      <c r="A154" s="56"/>
      <c r="B154" s="27"/>
      <c r="C154" s="27"/>
      <c r="D154" s="27"/>
      <c r="E154" s="27"/>
      <c r="F154" s="28"/>
      <c r="G154" s="36"/>
      <c r="H154" s="36"/>
      <c r="I154" s="82"/>
      <c r="J154" s="82"/>
      <c r="K154" s="85"/>
      <c r="L154" s="85"/>
      <c r="M154" s="86"/>
    </row>
    <row r="155" spans="1:17" x14ac:dyDescent="0.2">
      <c r="A155" s="56"/>
      <c r="B155" s="27"/>
      <c r="C155" s="27"/>
      <c r="D155" s="27"/>
      <c r="E155" s="27"/>
      <c r="F155" s="28"/>
      <c r="G155" s="36"/>
      <c r="H155" s="36"/>
      <c r="I155" s="82"/>
      <c r="J155" s="82"/>
      <c r="K155" s="85"/>
      <c r="L155" s="85"/>
      <c r="M155" s="86"/>
    </row>
    <row r="156" spans="1:17" x14ac:dyDescent="0.2">
      <c r="A156" s="149" t="s">
        <v>173</v>
      </c>
      <c r="B156" s="27"/>
      <c r="C156" s="27"/>
      <c r="D156" s="36"/>
      <c r="E156" s="36"/>
      <c r="F156" s="36"/>
      <c r="G156" s="36"/>
      <c r="H156" s="36"/>
      <c r="I156" s="36"/>
      <c r="J156" s="36"/>
      <c r="K156" s="36"/>
      <c r="L156" s="36"/>
      <c r="M156" s="43"/>
    </row>
    <row r="157" spans="1:17" x14ac:dyDescent="0.2">
      <c r="A157" s="261" t="s">
        <v>483</v>
      </c>
      <c r="B157" s="27"/>
      <c r="C157" s="27"/>
      <c r="D157" s="27"/>
      <c r="E157" s="27"/>
      <c r="F157" s="28"/>
      <c r="G157" s="36"/>
      <c r="H157" s="36"/>
      <c r="I157" s="36"/>
      <c r="J157" s="36"/>
      <c r="K157" s="85"/>
      <c r="L157" s="85"/>
      <c r="M157" s="86"/>
    </row>
    <row r="158" spans="1:17" x14ac:dyDescent="0.2">
      <c r="A158" s="261" t="s">
        <v>478</v>
      </c>
      <c r="B158" s="35"/>
      <c r="C158" s="35"/>
      <c r="D158" s="27"/>
      <c r="E158" s="27"/>
      <c r="F158" s="28"/>
      <c r="G158" s="36"/>
      <c r="H158" s="36"/>
      <c r="I158" s="82"/>
      <c r="J158" s="82"/>
      <c r="K158" s="85"/>
      <c r="L158" s="85"/>
      <c r="M158" s="86"/>
    </row>
    <row r="159" spans="1:17" x14ac:dyDescent="0.2">
      <c r="A159" s="261" t="s">
        <v>479</v>
      </c>
      <c r="B159" s="27"/>
      <c r="C159" s="27"/>
      <c r="D159" s="27"/>
      <c r="E159" s="89"/>
      <c r="F159" s="27"/>
      <c r="G159" s="89"/>
      <c r="H159" s="36"/>
      <c r="I159" s="27"/>
      <c r="J159" s="82"/>
      <c r="K159" s="36"/>
      <c r="L159" s="36"/>
      <c r="M159" s="43"/>
    </row>
    <row r="160" spans="1:17" ht="18" x14ac:dyDescent="0.25">
      <c r="A160" s="56" t="s">
        <v>480</v>
      </c>
      <c r="B160" s="27"/>
      <c r="C160" s="27"/>
      <c r="D160" s="27"/>
      <c r="E160" s="27"/>
      <c r="F160" s="28"/>
      <c r="G160" s="89"/>
      <c r="H160" s="36"/>
      <c r="I160" s="29"/>
      <c r="J160" s="29"/>
      <c r="K160" s="27"/>
      <c r="L160" s="27"/>
      <c r="M160" s="30"/>
    </row>
    <row r="161" spans="1:13" ht="18" x14ac:dyDescent="0.25">
      <c r="A161" s="56" t="s">
        <v>477</v>
      </c>
      <c r="B161" s="27"/>
      <c r="C161" s="27"/>
      <c r="D161" s="27"/>
      <c r="E161" s="89"/>
      <c r="F161" s="82"/>
      <c r="G161" s="89"/>
      <c r="H161" s="83"/>
      <c r="I161" s="83"/>
      <c r="J161" s="82"/>
      <c r="K161" s="85"/>
      <c r="L161" s="89"/>
      <c r="M161" s="120"/>
    </row>
    <row r="162" spans="1:13" ht="18" x14ac:dyDescent="0.25">
      <c r="A162" s="56" t="s">
        <v>484</v>
      </c>
      <c r="B162" s="27"/>
      <c r="C162" s="27"/>
      <c r="D162" s="27"/>
      <c r="E162" s="27"/>
      <c r="F162" s="82"/>
      <c r="G162" s="36"/>
      <c r="H162" s="82"/>
      <c r="I162" s="83"/>
      <c r="J162" s="83"/>
      <c r="K162" s="84"/>
      <c r="L162" s="84"/>
      <c r="M162" s="30"/>
    </row>
    <row r="163" spans="1:13" ht="18" x14ac:dyDescent="0.25">
      <c r="A163" s="56" t="s">
        <v>481</v>
      </c>
      <c r="B163" s="27"/>
      <c r="C163" s="27"/>
      <c r="D163" s="27"/>
      <c r="E163" s="27"/>
      <c r="F163" s="82"/>
      <c r="G163" s="36"/>
      <c r="H163" s="83"/>
      <c r="I163" s="83"/>
      <c r="J163" s="83"/>
      <c r="K163" s="84"/>
      <c r="L163" s="84"/>
      <c r="M163" s="30"/>
    </row>
    <row r="164" spans="1:13" ht="18" x14ac:dyDescent="0.25">
      <c r="A164" s="56"/>
      <c r="B164" s="27"/>
      <c r="C164" s="27"/>
      <c r="D164" s="27"/>
      <c r="E164" s="89"/>
      <c r="F164" s="82"/>
      <c r="G164" s="36"/>
      <c r="H164" s="83"/>
      <c r="I164" s="82"/>
      <c r="J164" s="83"/>
      <c r="K164" s="84"/>
      <c r="L164" s="84"/>
      <c r="M164" s="30"/>
    </row>
    <row r="165" spans="1:13" ht="18" x14ac:dyDescent="0.25">
      <c r="A165" s="129"/>
      <c r="B165" s="31"/>
      <c r="C165" s="31"/>
      <c r="D165" s="31"/>
      <c r="E165" s="117"/>
      <c r="F165" s="91"/>
      <c r="G165" s="130"/>
      <c r="H165" s="130"/>
      <c r="I165" s="91"/>
      <c r="J165" s="130"/>
      <c r="K165" s="90"/>
      <c r="L165" s="90"/>
      <c r="M165" s="114"/>
    </row>
    <row r="166" spans="1:13" x14ac:dyDescent="0.2">
      <c r="A166" s="89"/>
      <c r="B166" s="28"/>
      <c r="C166" s="82"/>
      <c r="D166" s="82"/>
      <c r="E166" s="82"/>
      <c r="F166" s="82"/>
      <c r="G166" s="85"/>
      <c r="H166" s="85"/>
      <c r="I166" s="85"/>
      <c r="J166" s="85"/>
      <c r="K166" s="84"/>
      <c r="L166" s="84"/>
      <c r="M166" s="27"/>
    </row>
    <row r="169" spans="1:13" x14ac:dyDescent="0.2">
      <c r="I169" s="36"/>
      <c r="J169" s="36"/>
      <c r="K169" s="36"/>
      <c r="L169" s="36"/>
    </row>
    <row r="170" spans="1:13" x14ac:dyDescent="0.2">
      <c r="I170" s="36"/>
      <c r="J170" s="36"/>
      <c r="K170" s="36"/>
      <c r="L170" s="36"/>
    </row>
    <row r="180" spans="6:10" ht="18" x14ac:dyDescent="0.25">
      <c r="F180" s="14"/>
      <c r="G180" s="12"/>
      <c r="H180" s="15"/>
      <c r="I180" s="15"/>
      <c r="J180" s="12"/>
    </row>
    <row r="208" spans="1:4" x14ac:dyDescent="0.2">
      <c r="A208" s="36"/>
      <c r="B208" s="36"/>
      <c r="C208" s="36"/>
      <c r="D208" s="36"/>
    </row>
    <row r="209" spans="1:13" ht="18" x14ac:dyDescent="0.25">
      <c r="A209" s="89"/>
      <c r="B209" s="27"/>
      <c r="C209" s="27"/>
      <c r="D209" s="27"/>
      <c r="E209" s="27"/>
      <c r="F209" s="82"/>
      <c r="G209" s="83"/>
      <c r="H209" s="83"/>
      <c r="I209" s="82"/>
      <c r="J209" s="83"/>
      <c r="K209" s="84"/>
      <c r="L209" s="84"/>
      <c r="M209" s="27"/>
    </row>
  </sheetData>
  <pageMargins left="0.75" right="0.75" top="1" bottom="1" header="0.5" footer="0.5"/>
  <pageSetup scale="77" fitToHeight="0" orientation="landscape" r:id="rId1"/>
  <headerFooter alignWithMargins="0"/>
  <rowBreaks count="3" manualBreakCount="3">
    <brk id="46" max="16383" man="1"/>
    <brk id="91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9"/>
  <sheetViews>
    <sheetView topLeftCell="A13" workbookViewId="0">
      <selection activeCell="N33" sqref="N33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>
        <v>42491</v>
      </c>
      <c r="H2" s="10"/>
      <c r="I2" s="10"/>
      <c r="J2" s="12"/>
    </row>
    <row r="6" spans="1:18" x14ac:dyDescent="0.2">
      <c r="A6" s="186" t="s">
        <v>15</v>
      </c>
      <c r="B6" s="186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39</v>
      </c>
      <c r="D7" s="36">
        <v>4</v>
      </c>
      <c r="E7" s="36">
        <v>73</v>
      </c>
      <c r="F7" s="72">
        <v>370</v>
      </c>
      <c r="G7" s="72">
        <v>42</v>
      </c>
      <c r="H7" s="72">
        <v>0</v>
      </c>
      <c r="I7" s="72">
        <v>0</v>
      </c>
      <c r="J7" s="72">
        <v>110</v>
      </c>
      <c r="K7" s="72">
        <v>8</v>
      </c>
      <c r="L7" s="232" t="s">
        <v>181</v>
      </c>
      <c r="M7" s="4">
        <f>SUM(C7:L7)</f>
        <v>646</v>
      </c>
    </row>
    <row r="8" spans="1:18" x14ac:dyDescent="0.2">
      <c r="A8" s="38"/>
      <c r="B8" s="57" t="s">
        <v>156</v>
      </c>
      <c r="C8" s="36">
        <v>4</v>
      </c>
      <c r="D8" s="36"/>
      <c r="E8" s="36">
        <v>0</v>
      </c>
      <c r="F8" s="72">
        <v>49</v>
      </c>
      <c r="G8" s="72">
        <v>4</v>
      </c>
      <c r="H8" s="72">
        <v>0</v>
      </c>
      <c r="I8" s="72">
        <v>0</v>
      </c>
      <c r="J8" s="72">
        <v>25</v>
      </c>
      <c r="K8" s="72">
        <v>2</v>
      </c>
      <c r="L8" s="232">
        <v>7</v>
      </c>
      <c r="M8" s="4">
        <f>SUM(C8:L8)</f>
        <v>91</v>
      </c>
    </row>
    <row r="9" spans="1:18" ht="13.5" thickBot="1" x14ac:dyDescent="0.25">
      <c r="A9" s="38"/>
      <c r="B9" s="57" t="s">
        <v>157</v>
      </c>
      <c r="C9" s="3">
        <v>9</v>
      </c>
      <c r="D9" s="3"/>
      <c r="E9" s="3">
        <v>4</v>
      </c>
      <c r="F9" s="3">
        <v>91</v>
      </c>
      <c r="G9" s="3">
        <v>1</v>
      </c>
      <c r="H9" s="3">
        <v>0</v>
      </c>
      <c r="I9" s="3">
        <v>0</v>
      </c>
      <c r="J9" s="3">
        <v>15</v>
      </c>
      <c r="K9" s="3">
        <v>0</v>
      </c>
      <c r="L9" s="3"/>
      <c r="M9" s="3">
        <f>SUM(C9:L9)</f>
        <v>120</v>
      </c>
    </row>
    <row r="10" spans="1:18" ht="13.5" thickTop="1" x14ac:dyDescent="0.2">
      <c r="A10" s="48"/>
      <c r="B10" s="65" t="s">
        <v>14</v>
      </c>
      <c r="C10" s="45">
        <f>SUM(C7:C9)</f>
        <v>52</v>
      </c>
      <c r="D10" s="45">
        <f t="shared" ref="D10:M10" si="0">SUM(D7:D9)</f>
        <v>4</v>
      </c>
      <c r="E10" s="45">
        <f t="shared" si="0"/>
        <v>77</v>
      </c>
      <c r="F10" s="45">
        <f t="shared" si="0"/>
        <v>510</v>
      </c>
      <c r="G10" s="45">
        <f t="shared" si="0"/>
        <v>47</v>
      </c>
      <c r="H10" s="45">
        <f t="shared" si="0"/>
        <v>0</v>
      </c>
      <c r="I10" s="45">
        <f t="shared" si="0"/>
        <v>0</v>
      </c>
      <c r="J10" s="45">
        <f t="shared" si="0"/>
        <v>150</v>
      </c>
      <c r="K10" s="45">
        <f t="shared" si="0"/>
        <v>10</v>
      </c>
      <c r="L10" s="45">
        <f t="shared" si="0"/>
        <v>7</v>
      </c>
      <c r="M10" s="45">
        <f t="shared" si="0"/>
        <v>857</v>
      </c>
    </row>
    <row r="11" spans="1:18" x14ac:dyDescent="0.2">
      <c r="B11" s="1"/>
      <c r="D11" s="2"/>
    </row>
    <row r="12" spans="1:18" x14ac:dyDescent="0.2">
      <c r="A12" s="181" t="s">
        <v>52</v>
      </c>
      <c r="B12" s="181"/>
      <c r="C12" s="40">
        <v>3277</v>
      </c>
      <c r="D12" s="66">
        <v>82</v>
      </c>
      <c r="E12" s="40">
        <v>14442</v>
      </c>
      <c r="F12" s="66">
        <v>12013</v>
      </c>
      <c r="G12" s="66">
        <v>9413</v>
      </c>
      <c r="H12" s="66">
        <v>104</v>
      </c>
      <c r="I12" s="66">
        <v>60</v>
      </c>
      <c r="J12" s="66">
        <v>11174</v>
      </c>
      <c r="K12" s="66">
        <v>1906</v>
      </c>
      <c r="L12" s="66"/>
      <c r="M12" s="66">
        <f>SUM(C12:K12)</f>
        <v>52471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253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71</v>
      </c>
      <c r="D19" s="36">
        <v>1</v>
      </c>
      <c r="E19" s="36">
        <v>137</v>
      </c>
      <c r="F19" s="4">
        <v>194</v>
      </c>
      <c r="G19" s="4">
        <v>115</v>
      </c>
      <c r="H19" s="4">
        <v>1</v>
      </c>
      <c r="I19" s="4">
        <v>5</v>
      </c>
      <c r="J19" s="4">
        <v>77</v>
      </c>
      <c r="K19" s="4">
        <v>48</v>
      </c>
      <c r="L19" s="43">
        <f>SUM(C19:K19)</f>
        <v>649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18</v>
      </c>
      <c r="F21" s="4">
        <v>18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61">
        <f>SUM(C21:K21)</f>
        <v>86</v>
      </c>
    </row>
    <row r="22" spans="1:13" x14ac:dyDescent="0.2">
      <c r="A22" s="38"/>
      <c r="B22" s="36" t="s">
        <v>10</v>
      </c>
      <c r="C22" s="4">
        <v>5</v>
      </c>
      <c r="D22" s="4">
        <v>3</v>
      </c>
      <c r="E22" s="4">
        <v>12</v>
      </c>
      <c r="F22" s="4">
        <v>60</v>
      </c>
      <c r="G22" s="4">
        <v>19</v>
      </c>
      <c r="H22" s="4">
        <v>2</v>
      </c>
      <c r="I22" s="4">
        <v>2</v>
      </c>
      <c r="J22" s="4">
        <v>29</v>
      </c>
      <c r="K22" s="4">
        <v>5</v>
      </c>
      <c r="L22" s="61">
        <f>SUM(C22:K22)</f>
        <v>137</v>
      </c>
    </row>
    <row r="23" spans="1:13" ht="13.5" thickBot="1" x14ac:dyDescent="0.25">
      <c r="A23" s="38"/>
      <c r="B23" s="36" t="s">
        <v>9</v>
      </c>
      <c r="C23" s="3">
        <v>138</v>
      </c>
      <c r="D23" s="3">
        <v>75</v>
      </c>
      <c r="E23" s="3">
        <v>371</v>
      </c>
      <c r="F23" s="3">
        <v>411</v>
      </c>
      <c r="G23" s="3">
        <v>284</v>
      </c>
      <c r="H23" s="3">
        <v>15</v>
      </c>
      <c r="I23" s="3">
        <v>15</v>
      </c>
      <c r="J23" s="3">
        <v>676</v>
      </c>
      <c r="K23" s="3">
        <v>187</v>
      </c>
      <c r="L23" s="59">
        <f>SUM(C23:K23)</f>
        <v>2172</v>
      </c>
    </row>
    <row r="24" spans="1:13" ht="13.5" thickTop="1" x14ac:dyDescent="0.2">
      <c r="A24" s="38"/>
      <c r="B24" s="60" t="s">
        <v>14</v>
      </c>
      <c r="C24" s="36">
        <f>SUM(C19:C23)</f>
        <v>216</v>
      </c>
      <c r="D24" s="36">
        <f t="shared" ref="D24:L24" si="1">SUM(D19:D23)</f>
        <v>79</v>
      </c>
      <c r="E24" s="36">
        <f t="shared" si="1"/>
        <v>539</v>
      </c>
      <c r="F24" s="36">
        <f t="shared" si="1"/>
        <v>683</v>
      </c>
      <c r="G24" s="36">
        <f t="shared" si="1"/>
        <v>438</v>
      </c>
      <c r="H24" s="36">
        <f t="shared" si="1"/>
        <v>19</v>
      </c>
      <c r="I24" s="36">
        <f t="shared" si="1"/>
        <v>22</v>
      </c>
      <c r="J24" s="36">
        <f t="shared" si="1"/>
        <v>811</v>
      </c>
      <c r="K24" s="36">
        <f t="shared" si="1"/>
        <v>244</v>
      </c>
      <c r="L24" s="36">
        <f t="shared" si="1"/>
        <v>3051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15.75</v>
      </c>
      <c r="D27" s="87">
        <v>0</v>
      </c>
      <c r="E27" s="87">
        <v>84.75</v>
      </c>
      <c r="F27" s="87">
        <v>85.5</v>
      </c>
      <c r="G27" s="87">
        <v>17.75</v>
      </c>
      <c r="H27" s="87">
        <v>0</v>
      </c>
      <c r="I27" s="87">
        <v>32.5</v>
      </c>
      <c r="J27" s="87">
        <v>60.75</v>
      </c>
      <c r="K27" s="87">
        <v>8.75</v>
      </c>
      <c r="L27" s="87"/>
      <c r="M27" s="250">
        <f>SUM(C27:L27)</f>
        <v>305.75</v>
      </c>
    </row>
    <row r="29" spans="1:13" x14ac:dyDescent="0.2">
      <c r="A29" s="181" t="s">
        <v>66</v>
      </c>
      <c r="B29" s="181"/>
      <c r="C29" s="253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38</v>
      </c>
      <c r="D31" s="36">
        <v>6</v>
      </c>
      <c r="E31" s="36">
        <v>64</v>
      </c>
      <c r="F31" s="4">
        <v>199</v>
      </c>
      <c r="G31" s="4">
        <v>152</v>
      </c>
      <c r="H31" s="4">
        <v>214</v>
      </c>
      <c r="I31" s="4">
        <v>4</v>
      </c>
      <c r="J31" s="4">
        <v>201</v>
      </c>
      <c r="K31" s="4">
        <v>34</v>
      </c>
      <c r="L31" s="4">
        <f>SUM(C31:K31)</f>
        <v>912</v>
      </c>
    </row>
    <row r="32" spans="1:13" x14ac:dyDescent="0.2">
      <c r="B32" s="60" t="s">
        <v>18</v>
      </c>
      <c r="C32" s="36">
        <v>38</v>
      </c>
      <c r="D32" s="36">
        <v>8</v>
      </c>
      <c r="E32" s="36">
        <v>43</v>
      </c>
      <c r="F32" s="4">
        <v>53</v>
      </c>
      <c r="G32" s="4">
        <v>39</v>
      </c>
      <c r="H32" s="4">
        <v>2</v>
      </c>
      <c r="I32" s="4">
        <v>3</v>
      </c>
      <c r="J32" s="4">
        <v>23</v>
      </c>
      <c r="K32" s="4">
        <v>7</v>
      </c>
      <c r="L32" s="4">
        <f>SUM(C32:K32)</f>
        <v>216</v>
      </c>
    </row>
    <row r="33" spans="1:12" x14ac:dyDescent="0.2">
      <c r="B33" s="60" t="s">
        <v>20</v>
      </c>
      <c r="C33" s="36">
        <v>162</v>
      </c>
      <c r="D33" s="36">
        <v>71</v>
      </c>
      <c r="E33" s="36">
        <v>475</v>
      </c>
      <c r="F33" s="36">
        <v>295</v>
      </c>
      <c r="G33" s="4">
        <v>256</v>
      </c>
      <c r="H33" s="4">
        <v>5</v>
      </c>
      <c r="I33" s="4">
        <v>2</v>
      </c>
      <c r="J33" s="4">
        <v>273</v>
      </c>
      <c r="K33" s="4">
        <v>53</v>
      </c>
      <c r="L33" s="4">
        <v>0</v>
      </c>
    </row>
    <row r="34" spans="1:12" x14ac:dyDescent="0.2">
      <c r="B34" s="60" t="s">
        <v>113</v>
      </c>
      <c r="C34" s="4">
        <f>19+49</f>
        <v>68</v>
      </c>
      <c r="D34" s="4">
        <f>12+22</f>
        <v>34</v>
      </c>
      <c r="E34" s="4">
        <f>16+39</f>
        <v>55</v>
      </c>
      <c r="F34" s="4">
        <f>20+51</f>
        <v>71</v>
      </c>
      <c r="G34" s="4">
        <f>17+11</f>
        <v>28</v>
      </c>
      <c r="H34" s="4">
        <f>31+46</f>
        <v>77</v>
      </c>
      <c r="I34" s="4">
        <f>0</f>
        <v>0</v>
      </c>
      <c r="J34" s="4">
        <f>22+62</f>
        <v>84</v>
      </c>
      <c r="K34" s="4">
        <f>4+21</f>
        <v>25</v>
      </c>
      <c r="L34" s="4">
        <f>SUM(C34:K34)</f>
        <v>442</v>
      </c>
    </row>
    <row r="35" spans="1:12" ht="13.5" thickBot="1" x14ac:dyDescent="0.25">
      <c r="B35" s="16" t="s">
        <v>19</v>
      </c>
      <c r="C35" s="3">
        <f>C76</f>
        <v>38</v>
      </c>
      <c r="D35" s="3">
        <f t="shared" ref="D35:K35" si="2">D76</f>
        <v>26</v>
      </c>
      <c r="E35" s="3">
        <f t="shared" si="2"/>
        <v>95</v>
      </c>
      <c r="F35" s="3">
        <f t="shared" si="2"/>
        <v>133</v>
      </c>
      <c r="G35" s="3">
        <f t="shared" si="2"/>
        <v>97</v>
      </c>
      <c r="H35" s="3">
        <f t="shared" si="2"/>
        <v>23</v>
      </c>
      <c r="I35" s="3">
        <f t="shared" si="2"/>
        <v>42</v>
      </c>
      <c r="J35" s="3">
        <f t="shared" si="2"/>
        <v>224</v>
      </c>
      <c r="K35" s="3">
        <f t="shared" si="2"/>
        <v>73</v>
      </c>
      <c r="L35" s="122">
        <f>SUM(C35:K35)</f>
        <v>751</v>
      </c>
    </row>
    <row r="36" spans="1:12" ht="13.5" thickTop="1" x14ac:dyDescent="0.2">
      <c r="B36" s="65" t="s">
        <v>14</v>
      </c>
      <c r="C36" s="45">
        <f t="shared" ref="C36:K36" si="3">SUM(C31:C35)</f>
        <v>344</v>
      </c>
      <c r="D36" s="45">
        <f t="shared" si="3"/>
        <v>145</v>
      </c>
      <c r="E36" s="45">
        <f t="shared" si="3"/>
        <v>732</v>
      </c>
      <c r="F36" s="45">
        <f t="shared" si="3"/>
        <v>751</v>
      </c>
      <c r="G36" s="45">
        <f t="shared" si="3"/>
        <v>572</v>
      </c>
      <c r="H36" s="45">
        <f t="shared" si="3"/>
        <v>321</v>
      </c>
      <c r="I36" s="45">
        <f t="shared" si="3"/>
        <v>51</v>
      </c>
      <c r="J36" s="45">
        <f t="shared" si="3"/>
        <v>805</v>
      </c>
      <c r="K36" s="45">
        <f t="shared" si="3"/>
        <v>192</v>
      </c>
      <c r="L36" s="62">
        <f>SUM(C36:K36)</f>
        <v>3913</v>
      </c>
    </row>
    <row r="38" spans="1:12" x14ac:dyDescent="0.2">
      <c r="A38" s="186" t="s">
        <v>57</v>
      </c>
      <c r="B38" s="187"/>
      <c r="C38" s="40">
        <v>0</v>
      </c>
      <c r="D38" s="40">
        <v>0</v>
      </c>
      <c r="E38" s="40">
        <v>3</v>
      </c>
      <c r="F38" s="66">
        <v>5</v>
      </c>
      <c r="G38" s="66">
        <v>4</v>
      </c>
      <c r="H38" s="66">
        <v>0</v>
      </c>
      <c r="I38" s="66">
        <v>0</v>
      </c>
      <c r="J38" s="66">
        <v>8</v>
      </c>
      <c r="K38" s="66">
        <v>0</v>
      </c>
      <c r="L38" s="66">
        <f>SUM(C38:K38)</f>
        <v>20</v>
      </c>
    </row>
    <row r="39" spans="1:12" ht="13.5" thickBot="1" x14ac:dyDescent="0.25">
      <c r="A39" s="190" t="s">
        <v>158</v>
      </c>
      <c r="B39" s="191"/>
      <c r="C39" s="3">
        <v>0</v>
      </c>
      <c r="D39" s="3">
        <v>0</v>
      </c>
      <c r="E39" s="3">
        <v>0</v>
      </c>
      <c r="F39" s="3">
        <v>24</v>
      </c>
      <c r="G39" s="3">
        <v>21</v>
      </c>
      <c r="H39" s="3">
        <v>6</v>
      </c>
      <c r="I39" s="3">
        <v>0</v>
      </c>
      <c r="J39" s="3">
        <v>204</v>
      </c>
      <c r="K39" s="3">
        <v>0</v>
      </c>
      <c r="L39" s="122">
        <f>SUM(C39:K39)</f>
        <v>255</v>
      </c>
    </row>
    <row r="40" spans="1:12" ht="13.5" thickTop="1" x14ac:dyDescent="0.2">
      <c r="A40" s="71"/>
      <c r="B40" s="60" t="s">
        <v>7</v>
      </c>
      <c r="C40" s="36">
        <f>SUM(C38:C39)</f>
        <v>0</v>
      </c>
      <c r="D40" s="36">
        <f t="shared" ref="D40:L40" si="4">SUM(D38:D39)</f>
        <v>0</v>
      </c>
      <c r="E40" s="36">
        <f t="shared" si="4"/>
        <v>3</v>
      </c>
      <c r="F40" s="36">
        <f t="shared" si="4"/>
        <v>29</v>
      </c>
      <c r="G40" s="36">
        <f t="shared" si="4"/>
        <v>25</v>
      </c>
      <c r="H40" s="36">
        <f t="shared" si="4"/>
        <v>6</v>
      </c>
      <c r="I40" s="36">
        <f t="shared" si="4"/>
        <v>0</v>
      </c>
      <c r="J40" s="36">
        <f t="shared" si="4"/>
        <v>212</v>
      </c>
      <c r="K40" s="36">
        <f t="shared" si="4"/>
        <v>0</v>
      </c>
      <c r="L40" s="36">
        <f t="shared" si="4"/>
        <v>275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69" t="s">
        <v>56</v>
      </c>
      <c r="B42" s="65"/>
      <c r="C42" s="45">
        <v>0</v>
      </c>
      <c r="D42" s="45">
        <v>0</v>
      </c>
      <c r="E42" s="45">
        <v>2</v>
      </c>
      <c r="F42" s="68">
        <v>11</v>
      </c>
      <c r="G42" s="68">
        <v>0</v>
      </c>
      <c r="H42" s="68">
        <v>0</v>
      </c>
      <c r="I42" s="68">
        <v>0</v>
      </c>
      <c r="J42" s="68">
        <v>65</v>
      </c>
      <c r="K42" s="68">
        <v>0</v>
      </c>
      <c r="L42" s="68">
        <f>SUM(C42:K42)</f>
        <v>78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f>SUM(C44:K44)</f>
        <v>0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f>SUM(C45:K45)</f>
        <v>0</v>
      </c>
    </row>
    <row r="46" spans="1:12" x14ac:dyDescent="0.2">
      <c r="A46" s="38"/>
    </row>
    <row r="47" spans="1:12" x14ac:dyDescent="0.2">
      <c r="A47" s="200" t="s">
        <v>19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>
        <v>3</v>
      </c>
      <c r="D49" s="36"/>
      <c r="E49" s="36">
        <v>9</v>
      </c>
      <c r="F49" s="4">
        <v>7</v>
      </c>
      <c r="G49" s="4">
        <v>9</v>
      </c>
      <c r="H49" s="4">
        <v>5</v>
      </c>
      <c r="I49" s="4">
        <v>5</v>
      </c>
      <c r="J49" s="4">
        <v>25</v>
      </c>
      <c r="K49" s="4">
        <v>5</v>
      </c>
      <c r="L49" s="4">
        <f t="shared" ref="L49:L76" si="5">SUM(C49:K49)</f>
        <v>68</v>
      </c>
    </row>
    <row r="50" spans="2:12" x14ac:dyDescent="0.2">
      <c r="B50" s="42" t="s">
        <v>119</v>
      </c>
      <c r="C50" s="36"/>
      <c r="D50" s="36"/>
      <c r="E50" s="4"/>
      <c r="F50" s="36"/>
      <c r="G50" s="36"/>
      <c r="H50" s="36"/>
      <c r="I50" s="36"/>
      <c r="J50" s="36"/>
      <c r="K50" s="36"/>
      <c r="L50" s="4">
        <f t="shared" si="5"/>
        <v>0</v>
      </c>
    </row>
    <row r="51" spans="2:12" x14ac:dyDescent="0.2">
      <c r="B51" s="42" t="s">
        <v>108</v>
      </c>
      <c r="C51" s="36"/>
      <c r="D51" s="36"/>
      <c r="E51" s="36">
        <v>10</v>
      </c>
      <c r="F51" s="36"/>
      <c r="G51" s="36"/>
      <c r="H51" s="4">
        <v>1</v>
      </c>
      <c r="I51" s="36"/>
      <c r="J51" s="4">
        <v>2</v>
      </c>
      <c r="K51" s="4"/>
      <c r="L51" s="4">
        <f t="shared" si="5"/>
        <v>13</v>
      </c>
    </row>
    <row r="52" spans="2:12" x14ac:dyDescent="0.2">
      <c r="B52" s="42" t="s">
        <v>144</v>
      </c>
      <c r="C52" s="36"/>
      <c r="D52" s="36"/>
      <c r="E52" s="36"/>
      <c r="F52" s="36"/>
      <c r="G52" s="36"/>
      <c r="H52" s="36"/>
      <c r="I52" s="36"/>
      <c r="J52" s="4"/>
      <c r="K52" s="4">
        <v>3</v>
      </c>
      <c r="L52" s="4">
        <f t="shared" si="5"/>
        <v>3</v>
      </c>
    </row>
    <row r="53" spans="2:12" x14ac:dyDescent="0.2">
      <c r="B53" s="42" t="s">
        <v>159</v>
      </c>
      <c r="C53" s="4">
        <v>5</v>
      </c>
      <c r="D53" s="36"/>
      <c r="E53" s="36"/>
      <c r="F53" s="36"/>
      <c r="G53" s="36">
        <v>1</v>
      </c>
      <c r="H53" s="36"/>
      <c r="I53" s="36">
        <v>1</v>
      </c>
      <c r="J53" s="4"/>
      <c r="K53" s="4"/>
      <c r="L53" s="4">
        <f t="shared" si="5"/>
        <v>7</v>
      </c>
    </row>
    <row r="54" spans="2:12" x14ac:dyDescent="0.2">
      <c r="B54" s="42" t="s">
        <v>109</v>
      </c>
      <c r="C54" s="4"/>
      <c r="D54" s="36"/>
      <c r="E54" s="4"/>
      <c r="F54" s="4"/>
      <c r="G54" s="36"/>
      <c r="H54" s="36"/>
      <c r="I54" s="36"/>
      <c r="J54" s="4"/>
      <c r="K54" s="36"/>
      <c r="L54" s="4">
        <f t="shared" si="5"/>
        <v>0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4">
        <f t="shared" si="5"/>
        <v>0</v>
      </c>
    </row>
    <row r="56" spans="2:12" x14ac:dyDescent="0.2">
      <c r="B56" s="42" t="s">
        <v>93</v>
      </c>
      <c r="C56" s="36">
        <v>3</v>
      </c>
      <c r="D56" s="36">
        <v>2</v>
      </c>
      <c r="E56" s="4">
        <v>9</v>
      </c>
      <c r="F56" s="4">
        <v>6</v>
      </c>
      <c r="G56" s="4"/>
      <c r="H56" s="4">
        <v>2</v>
      </c>
      <c r="I56" s="4"/>
      <c r="J56" s="4">
        <v>2</v>
      </c>
      <c r="K56" s="4">
        <v>2</v>
      </c>
      <c r="L56" s="4">
        <f t="shared" si="5"/>
        <v>26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36"/>
      <c r="K57" s="4"/>
      <c r="L57" s="4">
        <f t="shared" si="5"/>
        <v>0</v>
      </c>
    </row>
    <row r="58" spans="2:12" x14ac:dyDescent="0.2">
      <c r="B58" s="42" t="s">
        <v>107</v>
      </c>
      <c r="C58" s="36"/>
      <c r="D58" s="36">
        <v>1</v>
      </c>
      <c r="E58" s="4">
        <v>1</v>
      </c>
      <c r="F58" s="4">
        <v>13</v>
      </c>
      <c r="G58" s="4"/>
      <c r="H58" s="4"/>
      <c r="I58" s="36"/>
      <c r="J58" s="4">
        <v>3</v>
      </c>
      <c r="K58" s="4"/>
      <c r="L58" s="4">
        <f t="shared" si="5"/>
        <v>18</v>
      </c>
    </row>
    <row r="59" spans="2:12" x14ac:dyDescent="0.2">
      <c r="B59" s="42" t="s">
        <v>110</v>
      </c>
      <c r="C59" s="36"/>
      <c r="D59" s="36"/>
      <c r="E59" s="4"/>
      <c r="F59" s="4"/>
      <c r="G59" s="4"/>
      <c r="H59" s="4"/>
      <c r="I59" s="36"/>
      <c r="J59" s="4"/>
      <c r="K59" s="4"/>
      <c r="L59" s="4">
        <f t="shared" si="5"/>
        <v>0</v>
      </c>
    </row>
    <row r="60" spans="2:12" x14ac:dyDescent="0.2">
      <c r="B60" s="42" t="s">
        <v>95</v>
      </c>
      <c r="C60" s="36">
        <v>1</v>
      </c>
      <c r="D60" s="36"/>
      <c r="E60" s="36">
        <v>6</v>
      </c>
      <c r="F60" s="36"/>
      <c r="G60" s="4"/>
      <c r="H60" s="4"/>
      <c r="I60" s="36"/>
      <c r="J60" s="4">
        <v>3</v>
      </c>
      <c r="K60" s="4">
        <v>7</v>
      </c>
      <c r="L60" s="4">
        <f t="shared" si="5"/>
        <v>17</v>
      </c>
    </row>
    <row r="61" spans="2:12" x14ac:dyDescent="0.2">
      <c r="B61" s="38" t="s">
        <v>42</v>
      </c>
      <c r="C61" s="36">
        <v>5</v>
      </c>
      <c r="D61" s="36">
        <v>7</v>
      </c>
      <c r="E61" s="4">
        <v>13</v>
      </c>
      <c r="F61" s="4">
        <v>22</v>
      </c>
      <c r="G61" s="4">
        <v>28</v>
      </c>
      <c r="H61" s="4">
        <v>5</v>
      </c>
      <c r="I61" s="4">
        <v>13</v>
      </c>
      <c r="J61" s="4">
        <v>39</v>
      </c>
      <c r="K61" s="4">
        <v>8</v>
      </c>
      <c r="L61" s="4">
        <f t="shared" si="5"/>
        <v>140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4">
        <f t="shared" si="5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5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5"/>
        <v>0</v>
      </c>
    </row>
    <row r="65" spans="1:13" x14ac:dyDescent="0.2">
      <c r="B65" s="42" t="s">
        <v>163</v>
      </c>
      <c r="C65" s="36"/>
      <c r="D65" s="36"/>
      <c r="E65" s="36"/>
      <c r="F65" s="36">
        <v>2</v>
      </c>
      <c r="G65" s="4">
        <v>10</v>
      </c>
      <c r="H65" s="4"/>
      <c r="I65" s="4"/>
      <c r="J65" s="4"/>
      <c r="K65" s="4"/>
      <c r="L65" s="4">
        <f t="shared" si="5"/>
        <v>12</v>
      </c>
    </row>
    <row r="66" spans="1:13" x14ac:dyDescent="0.2">
      <c r="B66" s="38" t="s">
        <v>83</v>
      </c>
      <c r="C66" s="4">
        <v>10</v>
      </c>
      <c r="D66" s="4">
        <v>7</v>
      </c>
      <c r="E66" s="4">
        <v>23</v>
      </c>
      <c r="F66" s="4">
        <v>43</v>
      </c>
      <c r="G66" s="4">
        <v>15</v>
      </c>
      <c r="H66" s="4">
        <v>7</v>
      </c>
      <c r="I66" s="4">
        <v>17</v>
      </c>
      <c r="J66" s="4">
        <v>51</v>
      </c>
      <c r="K66" s="4">
        <v>31</v>
      </c>
      <c r="L66" s="4">
        <f t="shared" si="5"/>
        <v>204</v>
      </c>
    </row>
    <row r="67" spans="1:13" x14ac:dyDescent="0.2">
      <c r="B67" s="42" t="s">
        <v>161</v>
      </c>
      <c r="C67" s="4"/>
      <c r="D67" s="4"/>
      <c r="E67" s="4"/>
      <c r="F67" s="4"/>
      <c r="G67" s="4"/>
      <c r="H67" s="4"/>
      <c r="I67" s="4"/>
      <c r="J67" s="4"/>
      <c r="K67" s="4"/>
      <c r="L67" s="4">
        <f t="shared" si="5"/>
        <v>0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5"/>
        <v>0</v>
      </c>
    </row>
    <row r="69" spans="1:13" x14ac:dyDescent="0.2">
      <c r="B69" s="42" t="s">
        <v>94</v>
      </c>
      <c r="C69" s="4">
        <v>1</v>
      </c>
      <c r="D69" s="36"/>
      <c r="E69" s="4">
        <v>1</v>
      </c>
      <c r="F69" s="4">
        <v>9</v>
      </c>
      <c r="G69" s="4">
        <v>2</v>
      </c>
      <c r="H69" s="4"/>
      <c r="I69" s="4"/>
      <c r="J69" s="4">
        <v>1</v>
      </c>
      <c r="K69" s="4"/>
      <c r="L69" s="4">
        <f t="shared" si="5"/>
        <v>14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5"/>
        <v>0</v>
      </c>
    </row>
    <row r="71" spans="1:13" x14ac:dyDescent="0.2">
      <c r="B71" s="42" t="s">
        <v>44</v>
      </c>
      <c r="C71" s="4">
        <v>10</v>
      </c>
      <c r="D71" s="36">
        <v>9</v>
      </c>
      <c r="E71" s="4">
        <v>19</v>
      </c>
      <c r="F71" s="4">
        <v>29</v>
      </c>
      <c r="G71" s="4">
        <v>26</v>
      </c>
      <c r="H71" s="4">
        <v>3</v>
      </c>
      <c r="I71" s="4">
        <v>6</v>
      </c>
      <c r="J71" s="4">
        <v>88</v>
      </c>
      <c r="K71" s="4">
        <v>14</v>
      </c>
      <c r="L71" s="4">
        <f t="shared" si="5"/>
        <v>204</v>
      </c>
    </row>
    <row r="72" spans="1:13" x14ac:dyDescent="0.2">
      <c r="B72" s="42" t="s">
        <v>43</v>
      </c>
      <c r="C72" s="36"/>
      <c r="D72" s="36"/>
      <c r="E72" s="36">
        <v>4</v>
      </c>
      <c r="F72" s="4">
        <v>1</v>
      </c>
      <c r="G72" s="4">
        <v>5</v>
      </c>
      <c r="H72" s="4"/>
      <c r="I72" s="4"/>
      <c r="J72" s="4">
        <v>1</v>
      </c>
      <c r="K72" s="4">
        <v>3</v>
      </c>
      <c r="L72" s="4">
        <f t="shared" si="5"/>
        <v>14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4">
        <f t="shared" si="5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36"/>
      <c r="K74" s="4"/>
      <c r="L74" s="4">
        <f t="shared" si="5"/>
        <v>0</v>
      </c>
    </row>
    <row r="75" spans="1:13" ht="13.5" thickBot="1" x14ac:dyDescent="0.25">
      <c r="B75" s="80" t="s">
        <v>67</v>
      </c>
      <c r="C75" s="3"/>
      <c r="D75" s="3"/>
      <c r="E75" s="3"/>
      <c r="F75" s="3">
        <v>1</v>
      </c>
      <c r="G75" s="3">
        <v>1</v>
      </c>
      <c r="H75" s="3"/>
      <c r="I75" s="3"/>
      <c r="J75" s="3">
        <v>9</v>
      </c>
      <c r="K75" s="3"/>
      <c r="L75" s="122">
        <f t="shared" si="5"/>
        <v>11</v>
      </c>
    </row>
    <row r="76" spans="1:13" ht="13.5" thickTop="1" x14ac:dyDescent="0.2">
      <c r="B76" s="69" t="s">
        <v>7</v>
      </c>
      <c r="C76" s="45">
        <f t="shared" ref="C76:K76" si="6">SUM(C49:C75)</f>
        <v>38</v>
      </c>
      <c r="D76" s="45">
        <f t="shared" si="6"/>
        <v>26</v>
      </c>
      <c r="E76" s="45">
        <f t="shared" si="6"/>
        <v>95</v>
      </c>
      <c r="F76" s="45">
        <f t="shared" si="6"/>
        <v>133</v>
      </c>
      <c r="G76" s="45">
        <f t="shared" si="6"/>
        <v>97</v>
      </c>
      <c r="H76" s="45">
        <f t="shared" si="6"/>
        <v>23</v>
      </c>
      <c r="I76" s="45">
        <f t="shared" si="6"/>
        <v>42</v>
      </c>
      <c r="J76" s="45">
        <f t="shared" si="6"/>
        <v>224</v>
      </c>
      <c r="K76" s="45">
        <f t="shared" si="6"/>
        <v>73</v>
      </c>
      <c r="L76" s="123">
        <f t="shared" si="5"/>
        <v>751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2"/>
      <c r="C78" s="215"/>
      <c r="D78" s="6"/>
      <c r="E78" s="186" t="s">
        <v>37</v>
      </c>
      <c r="F78" s="192"/>
      <c r="G78" s="186"/>
      <c r="I78" s="186" t="s">
        <v>45</v>
      </c>
      <c r="J78" s="192"/>
      <c r="K78" s="186"/>
      <c r="L78" s="186"/>
      <c r="M78" s="6"/>
    </row>
    <row r="79" spans="1:13" x14ac:dyDescent="0.2">
      <c r="A79" s="94" t="s">
        <v>123</v>
      </c>
      <c r="C79" s="43">
        <v>3</v>
      </c>
      <c r="D79" s="6"/>
      <c r="E79" s="38" t="s">
        <v>9</v>
      </c>
      <c r="F79" s="36"/>
      <c r="G79" s="43">
        <f>246+36</f>
        <v>282</v>
      </c>
      <c r="I79" s="42" t="s">
        <v>133</v>
      </c>
      <c r="J79" s="36"/>
      <c r="K79" s="36"/>
      <c r="L79" s="43">
        <v>562</v>
      </c>
      <c r="M79" s="6"/>
    </row>
    <row r="80" spans="1:13" x14ac:dyDescent="0.2">
      <c r="A80" s="42" t="s">
        <v>29</v>
      </c>
      <c r="B80" s="36"/>
      <c r="C80" s="43">
        <v>6</v>
      </c>
      <c r="D80" s="6"/>
      <c r="E80" s="38" t="s">
        <v>10</v>
      </c>
      <c r="F80" s="36"/>
      <c r="G80" s="43">
        <v>161</v>
      </c>
      <c r="I80" s="42" t="s">
        <v>134</v>
      </c>
      <c r="J80" s="36"/>
      <c r="K80" s="36"/>
      <c r="L80" s="43">
        <v>121</v>
      </c>
      <c r="M80" s="6"/>
    </row>
    <row r="81" spans="1:13" x14ac:dyDescent="0.2">
      <c r="A81" s="42" t="s">
        <v>124</v>
      </c>
      <c r="B81" s="36"/>
      <c r="C81" s="43">
        <v>14</v>
      </c>
      <c r="D81" s="6"/>
      <c r="E81" s="38" t="s">
        <v>11</v>
      </c>
      <c r="F81" s="36"/>
      <c r="G81" s="43">
        <v>11</v>
      </c>
      <c r="I81" s="42" t="s">
        <v>46</v>
      </c>
      <c r="J81" s="36"/>
      <c r="K81" s="36"/>
      <c r="L81" s="43">
        <v>15</v>
      </c>
      <c r="M81" s="6"/>
    </row>
    <row r="82" spans="1:13" x14ac:dyDescent="0.2">
      <c r="A82" s="42" t="s">
        <v>125</v>
      </c>
      <c r="B82" s="57"/>
      <c r="C82" s="43">
        <f>582+15</f>
        <v>597</v>
      </c>
      <c r="D82" s="6"/>
      <c r="E82" s="38" t="s">
        <v>38</v>
      </c>
      <c r="F82" s="36"/>
      <c r="G82" s="43">
        <f>180+2</f>
        <v>182</v>
      </c>
      <c r="I82" s="42" t="s">
        <v>47</v>
      </c>
      <c r="J82" s="36"/>
      <c r="K82" s="36"/>
      <c r="L82" s="43">
        <v>29</v>
      </c>
      <c r="M82" s="6"/>
    </row>
    <row r="83" spans="1:13" x14ac:dyDescent="0.2">
      <c r="A83" s="42" t="s">
        <v>106</v>
      </c>
      <c r="B83" s="57"/>
      <c r="C83" s="43">
        <f>7+1+17+3</f>
        <v>28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12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22</v>
      </c>
    </row>
    <row r="86" spans="1:13" x14ac:dyDescent="0.2">
      <c r="A86" s="42" t="s">
        <v>126</v>
      </c>
      <c r="B86" s="36"/>
      <c r="C86" s="43">
        <v>0</v>
      </c>
      <c r="E86" s="186" t="s">
        <v>31</v>
      </c>
      <c r="F86" s="192"/>
      <c r="G86" s="186"/>
      <c r="H86" s="186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15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13</v>
      </c>
    </row>
    <row r="89" spans="1:13" x14ac:dyDescent="0.2">
      <c r="A89" s="104" t="s">
        <v>18</v>
      </c>
      <c r="C89" s="61">
        <v>4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f>1+233+69+115</f>
        <v>418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415</v>
      </c>
      <c r="C95" s="19"/>
      <c r="D95" s="19">
        <v>1090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/>
      <c r="E96" s="17"/>
      <c r="F96" t="s">
        <v>416</v>
      </c>
      <c r="H96" s="1"/>
      <c r="I96" s="71" t="s">
        <v>139</v>
      </c>
      <c r="J96" s="60"/>
      <c r="M96" s="43"/>
    </row>
    <row r="97" spans="1:13" x14ac:dyDescent="0.2">
      <c r="A97" s="1"/>
      <c r="B97" s="17" t="s">
        <v>147</v>
      </c>
      <c r="C97" s="17"/>
      <c r="D97" s="17">
        <v>20</v>
      </c>
      <c r="E97" s="17">
        <v>24</v>
      </c>
      <c r="I97" s="42" t="s">
        <v>140</v>
      </c>
      <c r="K97" s="36"/>
      <c r="L97" s="36">
        <v>208</v>
      </c>
      <c r="M97" s="43"/>
    </row>
    <row r="98" spans="1:13" x14ac:dyDescent="0.2">
      <c r="B98" s="22" t="s">
        <v>102</v>
      </c>
      <c r="C98" s="22"/>
      <c r="D98" s="132">
        <v>486</v>
      </c>
      <c r="E98" s="22"/>
      <c r="I98" s="71" t="s">
        <v>154</v>
      </c>
      <c r="J98" s="60"/>
      <c r="K98" s="60"/>
      <c r="L98" s="57">
        <v>57</v>
      </c>
      <c r="M98" s="74"/>
    </row>
    <row r="99" spans="1:13" x14ac:dyDescent="0.2">
      <c r="B99" s="37" t="s">
        <v>151</v>
      </c>
      <c r="C99" s="22"/>
      <c r="D99" s="22">
        <v>53</v>
      </c>
      <c r="E99" s="22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48</v>
      </c>
      <c r="E100" s="22"/>
      <c r="H100" s="1"/>
      <c r="I100" s="69"/>
      <c r="J100" s="65"/>
      <c r="K100" s="98"/>
      <c r="L100" s="98"/>
      <c r="M100" s="99"/>
    </row>
    <row r="101" spans="1:13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37"/>
      <c r="H102" s="1"/>
      <c r="I102" s="199" t="s">
        <v>112</v>
      </c>
      <c r="J102" s="199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132</v>
      </c>
      <c r="E103" s="37"/>
      <c r="I103" s="102" t="s">
        <v>116</v>
      </c>
      <c r="J103" s="40"/>
      <c r="K103" s="103">
        <v>934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16</v>
      </c>
      <c r="E104" s="37"/>
      <c r="I104" s="104" t="s">
        <v>101</v>
      </c>
      <c r="J104" s="4"/>
      <c r="K104" s="105">
        <v>126</v>
      </c>
      <c r="L104" s="93"/>
      <c r="M104" s="93"/>
    </row>
    <row r="105" spans="1:13" x14ac:dyDescent="0.2">
      <c r="B105" s="21" t="s">
        <v>99</v>
      </c>
      <c r="C105" s="21"/>
      <c r="D105" s="20"/>
      <c r="E105" s="20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39">
        <v>7</v>
      </c>
      <c r="E107" s="17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21"/>
      <c r="I108" s="110" t="s">
        <v>23</v>
      </c>
      <c r="J108" s="101"/>
      <c r="K108" s="36">
        <v>2</v>
      </c>
      <c r="L108" s="36">
        <v>0</v>
      </c>
      <c r="M108" s="109">
        <v>2</v>
      </c>
    </row>
    <row r="109" spans="1:13" x14ac:dyDescent="0.2">
      <c r="A109" s="1" t="s">
        <v>77</v>
      </c>
      <c r="B109" s="20" t="s">
        <v>82</v>
      </c>
      <c r="C109" s="20"/>
      <c r="D109" s="17">
        <v>1</v>
      </c>
      <c r="E109" s="17">
        <v>77</v>
      </c>
      <c r="I109" s="110" t="s">
        <v>24</v>
      </c>
      <c r="J109" s="101"/>
      <c r="K109" s="36">
        <v>16</v>
      </c>
      <c r="L109" s="36">
        <v>1</v>
      </c>
      <c r="M109" s="109">
        <v>17</v>
      </c>
    </row>
    <row r="110" spans="1:13" x14ac:dyDescent="0.2">
      <c r="A110" s="1"/>
      <c r="B110" s="115" t="s">
        <v>153</v>
      </c>
      <c r="D110" s="20">
        <v>0</v>
      </c>
      <c r="E110" s="20"/>
      <c r="I110" s="110" t="s">
        <v>156</v>
      </c>
      <c r="J110" s="101"/>
      <c r="K110" s="36"/>
      <c r="L110" s="36"/>
      <c r="M110" s="109"/>
    </row>
    <row r="111" spans="1:13" x14ac:dyDescent="0.2">
      <c r="A111" s="1"/>
      <c r="B111" s="39" t="s">
        <v>182</v>
      </c>
      <c r="C111" s="20"/>
      <c r="D111" s="116">
        <v>1043</v>
      </c>
      <c r="E111" s="20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116">
        <v>141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59</v>
      </c>
      <c r="E113" s="20"/>
      <c r="I113" s="253" t="s">
        <v>111</v>
      </c>
      <c r="J113" s="253"/>
      <c r="K113" s="121">
        <v>1</v>
      </c>
      <c r="L113" s="110"/>
      <c r="M113" s="101"/>
    </row>
    <row r="114" spans="1:13" x14ac:dyDescent="0.2">
      <c r="B114" s="116" t="s">
        <v>132</v>
      </c>
      <c r="C114" s="20"/>
      <c r="D114" s="116">
        <v>52</v>
      </c>
      <c r="E114" s="20"/>
      <c r="I114" s="253" t="s">
        <v>143</v>
      </c>
      <c r="J114" s="253"/>
      <c r="K114" s="121">
        <v>5</v>
      </c>
      <c r="L114" s="94" t="s">
        <v>145</v>
      </c>
      <c r="M114" s="101"/>
    </row>
    <row r="115" spans="1:13" x14ac:dyDescent="0.2">
      <c r="D115">
        <f>SUM(D95:D114)</f>
        <v>3148</v>
      </c>
      <c r="E115">
        <f>SUM(E95:E114)</f>
        <v>101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7"/>
      <c r="D117" s="127"/>
      <c r="E117" s="126"/>
      <c r="F117" s="127"/>
    </row>
    <row r="118" spans="1:13" x14ac:dyDescent="0.2">
      <c r="A118" s="181" t="s">
        <v>58</v>
      </c>
      <c r="B118" s="198"/>
      <c r="C118" s="45"/>
      <c r="D118" s="45"/>
    </row>
    <row r="119" spans="1:13" x14ac:dyDescent="0.2">
      <c r="B119" s="57"/>
      <c r="C119" s="36"/>
      <c r="D119" s="6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</row>
    <row r="122" spans="1:13" x14ac:dyDescent="0.2">
      <c r="A122" s="71" t="s">
        <v>105</v>
      </c>
      <c r="B122" s="57">
        <v>47268</v>
      </c>
      <c r="C122" s="36">
        <f>86+42+23</f>
        <v>151</v>
      </c>
      <c r="D122" s="36">
        <v>1460</v>
      </c>
      <c r="E122" s="4">
        <f>4+43+14+8+83+25+30+67+30+1</f>
        <v>305</v>
      </c>
      <c r="F122" s="4">
        <f>55+3+20+4+2+1+5+4+5+2+2+38+16+11+4+71+3+4+2+9+3+10+2+6+19+14+4+8+1+15+2+24+7+1+7+3+12+13+9+3+24+5+3+1+2+3</f>
        <v>462</v>
      </c>
      <c r="G122" s="36">
        <v>1052</v>
      </c>
      <c r="H122" s="4">
        <f>20+188+1872</f>
        <v>2080</v>
      </c>
      <c r="I122" s="4">
        <v>94</v>
      </c>
      <c r="J122" s="36">
        <v>0</v>
      </c>
      <c r="K122" s="36">
        <v>3617</v>
      </c>
      <c r="L122" s="36">
        <v>637</v>
      </c>
      <c r="M122">
        <f>SUM(B122:L122)</f>
        <v>57126</v>
      </c>
    </row>
    <row r="123" spans="1:13" x14ac:dyDescent="0.2">
      <c r="A123" s="45"/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5"/>
    </row>
    <row r="124" spans="1:13" x14ac:dyDescent="0.2"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247</v>
      </c>
      <c r="F126" s="186" t="s">
        <v>49</v>
      </c>
      <c r="G126" s="187"/>
      <c r="H126" s="75">
        <v>0</v>
      </c>
      <c r="J126" s="186" t="s">
        <v>75</v>
      </c>
      <c r="K126" s="187"/>
      <c r="L126" s="186"/>
      <c r="M126" s="41">
        <v>2</v>
      </c>
    </row>
    <row r="127" spans="1:13" x14ac:dyDescent="0.2">
      <c r="A127" s="203" t="s">
        <v>84</v>
      </c>
      <c r="B127" s="200"/>
      <c r="C127" s="49"/>
      <c r="F127" s="190" t="s">
        <v>50</v>
      </c>
      <c r="G127" s="191"/>
      <c r="H127" s="76">
        <v>0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247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71</v>
      </c>
      <c r="D132" s="36">
        <v>35</v>
      </c>
      <c r="E132" s="36">
        <v>556</v>
      </c>
      <c r="F132" s="4">
        <v>284</v>
      </c>
      <c r="G132" s="4">
        <v>160</v>
      </c>
      <c r="H132" s="4">
        <v>13</v>
      </c>
      <c r="I132" s="4">
        <v>52</v>
      </c>
      <c r="J132" s="4">
        <v>207</v>
      </c>
      <c r="K132" s="4">
        <v>393</v>
      </c>
      <c r="L132" s="4">
        <f>SUM(C132:K132)</f>
        <v>1771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3" t="s">
        <v>181</v>
      </c>
      <c r="F133" s="134">
        <v>139</v>
      </c>
      <c r="G133" s="133" t="s">
        <v>181</v>
      </c>
      <c r="H133" s="133" t="s">
        <v>181</v>
      </c>
      <c r="I133" s="133" t="s">
        <v>181</v>
      </c>
      <c r="J133" s="134">
        <v>150</v>
      </c>
      <c r="K133" s="133" t="s">
        <v>181</v>
      </c>
      <c r="L133" s="4">
        <f>SUM(C133:K133)</f>
        <v>289</v>
      </c>
    </row>
    <row r="134" spans="1:13" ht="13.5" thickBot="1" x14ac:dyDescent="0.25">
      <c r="A134" s="38"/>
      <c r="B134" s="16" t="s">
        <v>196</v>
      </c>
      <c r="C134" s="262">
        <v>0</v>
      </c>
      <c r="D134" s="262">
        <v>4</v>
      </c>
      <c r="E134" s="262">
        <v>0</v>
      </c>
      <c r="F134" s="262">
        <v>5</v>
      </c>
      <c r="G134" s="262">
        <v>0</v>
      </c>
      <c r="H134" s="135">
        <v>1</v>
      </c>
      <c r="I134" s="135" t="s">
        <v>181</v>
      </c>
      <c r="J134" s="135">
        <v>1</v>
      </c>
      <c r="K134" s="135">
        <v>0</v>
      </c>
      <c r="L134" s="208">
        <f>SUM(C134:K134)</f>
        <v>11</v>
      </c>
    </row>
    <row r="135" spans="1:13" ht="13.5" thickTop="1" x14ac:dyDescent="0.2">
      <c r="B135" s="60" t="s">
        <v>14</v>
      </c>
      <c r="C135" s="36">
        <f>SUM(C132:C134)</f>
        <v>71</v>
      </c>
      <c r="D135" s="36">
        <f>SUM(D132:D134)</f>
        <v>39</v>
      </c>
      <c r="E135" s="36">
        <f t="shared" ref="E135:L135" si="7">SUM(E132:E134)</f>
        <v>556</v>
      </c>
      <c r="F135" s="36">
        <f t="shared" si="7"/>
        <v>428</v>
      </c>
      <c r="G135" s="36">
        <f t="shared" si="7"/>
        <v>160</v>
      </c>
      <c r="H135" s="36">
        <f t="shared" si="7"/>
        <v>14</v>
      </c>
      <c r="I135" s="36">
        <f t="shared" si="7"/>
        <v>52</v>
      </c>
      <c r="J135" s="36">
        <f t="shared" si="7"/>
        <v>358</v>
      </c>
      <c r="K135" s="36">
        <f t="shared" si="7"/>
        <v>393</v>
      </c>
      <c r="L135" s="57">
        <f t="shared" si="7"/>
        <v>2071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502</v>
      </c>
      <c r="B141" s="27"/>
      <c r="C141" s="27"/>
      <c r="D141" s="27"/>
      <c r="E141" s="27"/>
      <c r="F141" s="28"/>
      <c r="G141" s="163" t="s">
        <v>493</v>
      </c>
      <c r="H141" s="29"/>
      <c r="I141" s="82"/>
      <c r="J141" s="83"/>
      <c r="K141" s="84"/>
      <c r="L141" s="84"/>
      <c r="M141" s="119"/>
    </row>
    <row r="142" spans="1:13" x14ac:dyDescent="0.2">
      <c r="A142" s="263" t="s">
        <v>503</v>
      </c>
      <c r="E142" s="27"/>
      <c r="F142" s="82"/>
      <c r="G142" s="163" t="s">
        <v>501</v>
      </c>
      <c r="H142" s="82"/>
      <c r="I142" s="82"/>
      <c r="J142" s="82"/>
      <c r="K142" s="85"/>
      <c r="L142" s="85"/>
      <c r="M142" s="86"/>
    </row>
    <row r="143" spans="1:13" x14ac:dyDescent="0.2">
      <c r="A143" s="248" t="s">
        <v>509</v>
      </c>
      <c r="E143" s="27"/>
      <c r="F143" s="28"/>
      <c r="G143" s="82"/>
      <c r="H143" s="82"/>
      <c r="I143" s="82"/>
      <c r="J143" s="82"/>
      <c r="K143" s="85"/>
      <c r="L143" s="85"/>
      <c r="M143" s="86"/>
    </row>
    <row r="144" spans="1:13" x14ac:dyDescent="0.2">
      <c r="M144" s="43"/>
    </row>
    <row r="145" spans="1:13" ht="18" x14ac:dyDescent="0.25">
      <c r="A145" s="34" t="s">
        <v>164</v>
      </c>
      <c r="B145" s="27"/>
      <c r="C145" s="27"/>
      <c r="D145" s="27"/>
      <c r="E145" s="27"/>
      <c r="F145" s="82"/>
      <c r="G145" s="82"/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491</v>
      </c>
      <c r="B146" s="27"/>
      <c r="C146" s="27"/>
      <c r="D146" s="27"/>
      <c r="E146" s="27"/>
      <c r="F146" s="82"/>
      <c r="G146" s="82"/>
      <c r="H146" s="29"/>
      <c r="I146" s="82"/>
      <c r="J146" s="82"/>
      <c r="K146" s="27"/>
      <c r="L146" s="27"/>
      <c r="M146" s="30"/>
    </row>
    <row r="147" spans="1:13" ht="18" x14ac:dyDescent="0.25">
      <c r="A147" s="168" t="s">
        <v>490</v>
      </c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3" x14ac:dyDescent="0.2">
      <c r="A148" s="161" t="s">
        <v>499</v>
      </c>
      <c r="B148" s="89"/>
      <c r="C148" s="27"/>
      <c r="D148" s="27"/>
      <c r="E148" s="35"/>
      <c r="F148" s="92"/>
      <c r="G148" s="35"/>
      <c r="I148" s="82"/>
      <c r="J148" s="82"/>
      <c r="K148" s="27"/>
      <c r="L148" s="27"/>
      <c r="M148" s="30"/>
    </row>
    <row r="149" spans="1:13" x14ac:dyDescent="0.2">
      <c r="A149" s="161" t="s">
        <v>496</v>
      </c>
      <c r="B149" s="27"/>
      <c r="C149" s="27"/>
      <c r="D149" s="27"/>
      <c r="E149" s="27"/>
      <c r="F149" s="92"/>
      <c r="G149" s="89"/>
      <c r="I149" s="82"/>
      <c r="J149" s="82"/>
      <c r="K149" s="27"/>
      <c r="L149" s="27"/>
      <c r="M149" s="30"/>
    </row>
    <row r="150" spans="1:13" ht="18" x14ac:dyDescent="0.25">
      <c r="A150" s="161" t="s">
        <v>510</v>
      </c>
      <c r="B150" s="27"/>
      <c r="C150" s="27"/>
      <c r="D150" s="27"/>
      <c r="E150" s="27"/>
      <c r="F150" s="92"/>
      <c r="G150" s="89"/>
      <c r="I150" s="29"/>
      <c r="J150" s="29"/>
      <c r="K150" s="27"/>
      <c r="L150" s="27"/>
      <c r="M150" s="30"/>
    </row>
    <row r="151" spans="1:13" ht="18" x14ac:dyDescent="0.25">
      <c r="A151" s="88"/>
      <c r="F151" s="28"/>
      <c r="G151" s="89"/>
      <c r="I151" s="29"/>
      <c r="J151" s="29"/>
      <c r="K151" s="27"/>
      <c r="L151" s="27"/>
      <c r="M151" s="30"/>
    </row>
    <row r="152" spans="1:13" x14ac:dyDescent="0.2">
      <c r="A152" s="34" t="s">
        <v>87</v>
      </c>
      <c r="B152" s="27"/>
      <c r="C152" s="27"/>
      <c r="D152" s="27"/>
      <c r="E152" s="27"/>
      <c r="F152" s="28"/>
      <c r="G152" s="89"/>
      <c r="I152" s="82"/>
      <c r="J152" s="82"/>
      <c r="K152" s="85"/>
      <c r="L152" s="85"/>
      <c r="M152" s="86"/>
    </row>
    <row r="153" spans="1:13" x14ac:dyDescent="0.2">
      <c r="A153" s="163" t="s">
        <v>497</v>
      </c>
      <c r="B153" s="27"/>
      <c r="C153" s="27"/>
      <c r="D153" s="27"/>
      <c r="E153" s="27"/>
      <c r="F153" s="28"/>
      <c r="G153" s="89"/>
      <c r="I153" s="82"/>
      <c r="J153" s="82"/>
      <c r="K153" s="85"/>
      <c r="L153" s="85"/>
      <c r="M153" s="86"/>
    </row>
    <row r="154" spans="1:13" x14ac:dyDescent="0.2">
      <c r="A154" s="56"/>
      <c r="B154" s="27"/>
      <c r="C154" s="27"/>
      <c r="D154" s="27"/>
      <c r="E154" s="27"/>
      <c r="F154" s="28"/>
      <c r="I154" s="82"/>
      <c r="J154" s="82"/>
      <c r="K154" s="85"/>
      <c r="L154" s="85"/>
      <c r="M154" s="86"/>
    </row>
    <row r="155" spans="1:13" x14ac:dyDescent="0.2">
      <c r="A155" s="56"/>
      <c r="B155" s="27"/>
      <c r="C155" s="27"/>
      <c r="D155" s="27"/>
      <c r="E155" s="27"/>
      <c r="F155" s="28"/>
      <c r="I155" s="82"/>
      <c r="J155" s="82"/>
      <c r="K155" s="85"/>
      <c r="L155" s="85"/>
      <c r="M155" s="86"/>
    </row>
    <row r="156" spans="1:13" x14ac:dyDescent="0.2">
      <c r="B156" s="27"/>
      <c r="C156" s="27"/>
      <c r="G156" s="131" t="s">
        <v>170</v>
      </c>
      <c r="M156" s="43"/>
    </row>
    <row r="157" spans="1:13" x14ac:dyDescent="0.2">
      <c r="A157" s="131" t="s">
        <v>173</v>
      </c>
      <c r="B157" s="27"/>
      <c r="C157" s="27"/>
      <c r="D157" s="27"/>
      <c r="E157" s="27"/>
      <c r="F157" s="28"/>
      <c r="G157" s="163" t="s">
        <v>489</v>
      </c>
      <c r="K157" s="85"/>
      <c r="L157" s="85"/>
      <c r="M157" s="86"/>
    </row>
    <row r="158" spans="1:13" x14ac:dyDescent="0.2">
      <c r="A158" s="168" t="s">
        <v>492</v>
      </c>
      <c r="B158" s="35"/>
      <c r="C158" s="35"/>
      <c r="D158" s="27"/>
      <c r="E158" s="27"/>
      <c r="F158" s="28"/>
      <c r="G158" s="168" t="s">
        <v>494</v>
      </c>
      <c r="I158" s="82"/>
      <c r="J158" s="82"/>
      <c r="K158" s="85"/>
      <c r="L158" s="85"/>
      <c r="M158" s="86"/>
    </row>
    <row r="159" spans="1:13" x14ac:dyDescent="0.2">
      <c r="A159" s="168" t="s">
        <v>504</v>
      </c>
      <c r="B159" s="27"/>
      <c r="C159" s="27"/>
      <c r="D159" s="27"/>
      <c r="E159" s="89"/>
      <c r="F159" s="27"/>
      <c r="G159" s="163" t="s">
        <v>495</v>
      </c>
      <c r="I159" s="27"/>
      <c r="J159" s="82"/>
      <c r="M159" s="43"/>
    </row>
    <row r="160" spans="1:13" ht="18" x14ac:dyDescent="0.25">
      <c r="A160" s="161" t="s">
        <v>508</v>
      </c>
      <c r="B160" s="27"/>
      <c r="C160" s="27"/>
      <c r="D160" s="27"/>
      <c r="E160" s="27"/>
      <c r="F160" s="28"/>
      <c r="G160" s="168" t="s">
        <v>505</v>
      </c>
      <c r="I160" s="29"/>
      <c r="J160" s="29"/>
      <c r="K160" s="27"/>
      <c r="L160" s="27"/>
      <c r="M160" s="30"/>
    </row>
    <row r="161" spans="1:13" ht="18" x14ac:dyDescent="0.25">
      <c r="A161" s="161" t="s">
        <v>506</v>
      </c>
      <c r="B161" s="27"/>
      <c r="C161" s="27"/>
      <c r="D161" s="27"/>
      <c r="E161" s="89"/>
      <c r="F161" s="82"/>
      <c r="G161" s="168" t="s">
        <v>507</v>
      </c>
      <c r="I161" s="83"/>
      <c r="J161" s="82"/>
      <c r="K161" s="85"/>
      <c r="L161" s="89"/>
      <c r="M161" s="120"/>
    </row>
    <row r="162" spans="1:13" ht="18" x14ac:dyDescent="0.25">
      <c r="A162" s="161" t="s">
        <v>512</v>
      </c>
      <c r="B162" s="27"/>
      <c r="C162" s="27"/>
      <c r="D162" s="27"/>
      <c r="E162" s="27"/>
      <c r="F162" s="82"/>
      <c r="G162" s="168" t="s">
        <v>511</v>
      </c>
      <c r="I162" s="83"/>
      <c r="J162" s="83"/>
      <c r="K162" s="84"/>
      <c r="L162" s="84"/>
      <c r="M162" s="30"/>
    </row>
    <row r="163" spans="1:13" ht="18" x14ac:dyDescent="0.25">
      <c r="A163" s="168" t="s">
        <v>500</v>
      </c>
      <c r="B163" s="27"/>
      <c r="C163" s="27"/>
      <c r="D163" s="27"/>
      <c r="E163" s="27"/>
      <c r="F163" s="82"/>
      <c r="I163" s="83"/>
      <c r="J163" s="83"/>
      <c r="K163" s="84"/>
      <c r="L163" s="84"/>
      <c r="M163" s="30"/>
    </row>
    <row r="164" spans="1:13" ht="18" x14ac:dyDescent="0.25">
      <c r="A164" s="56"/>
      <c r="B164" s="27"/>
      <c r="C164" s="27"/>
      <c r="D164" s="27"/>
      <c r="E164" s="89"/>
      <c r="F164" s="82"/>
      <c r="H164" s="83"/>
      <c r="I164" s="82"/>
      <c r="J164" s="83"/>
      <c r="K164" s="84"/>
      <c r="L164" s="84"/>
      <c r="M164" s="30"/>
    </row>
    <row r="165" spans="1:13" ht="18" x14ac:dyDescent="0.25">
      <c r="A165" s="129"/>
      <c r="B165" s="31"/>
      <c r="C165" s="31"/>
      <c r="D165" s="31"/>
      <c r="E165" s="117"/>
      <c r="F165" s="91"/>
      <c r="G165" s="130"/>
      <c r="H165" s="130"/>
      <c r="I165" s="91"/>
      <c r="J165" s="130"/>
      <c r="K165" s="90"/>
      <c r="L165" s="90"/>
      <c r="M165" s="114"/>
    </row>
    <row r="166" spans="1:13" x14ac:dyDescent="0.2">
      <c r="A166" s="89"/>
      <c r="B166" s="28"/>
      <c r="C166" s="82"/>
      <c r="D166" s="82"/>
      <c r="E166" s="82"/>
      <c r="F166" s="82"/>
      <c r="G166" s="85"/>
      <c r="H166" s="85"/>
      <c r="I166" s="85"/>
      <c r="J166" s="85"/>
      <c r="K166" s="84"/>
      <c r="L166" s="84"/>
      <c r="M166" s="27"/>
    </row>
    <row r="169" spans="1:13" x14ac:dyDescent="0.2">
      <c r="I169" s="36"/>
      <c r="J169" s="36"/>
      <c r="K169" s="36"/>
      <c r="L169" s="36"/>
    </row>
    <row r="170" spans="1:13" x14ac:dyDescent="0.2">
      <c r="I170" s="36"/>
      <c r="J170" s="36"/>
      <c r="K170" s="36"/>
      <c r="L170" s="36"/>
    </row>
    <row r="180" spans="6:10" ht="18" x14ac:dyDescent="0.25">
      <c r="F180" s="14"/>
      <c r="G180" s="12"/>
      <c r="H180" s="15"/>
      <c r="I180" s="15"/>
      <c r="J180" s="12"/>
    </row>
    <row r="209" spans="1:13" ht="18" x14ac:dyDescent="0.25">
      <c r="A209" s="89"/>
      <c r="B209" s="31"/>
      <c r="C209" s="31"/>
      <c r="D209" s="31"/>
      <c r="E209" s="27"/>
      <c r="F209" s="82"/>
      <c r="G209" s="83"/>
      <c r="H209" s="83"/>
      <c r="I209" s="82"/>
      <c r="J209" s="83"/>
      <c r="K209" s="84"/>
      <c r="L209" s="84"/>
      <c r="M209" s="27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9"/>
  <sheetViews>
    <sheetView topLeftCell="A94" workbookViewId="0">
      <selection activeCell="N27" sqref="N27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>
        <v>42522</v>
      </c>
      <c r="H2" s="10"/>
      <c r="I2" s="10"/>
      <c r="J2" s="12"/>
    </row>
    <row r="6" spans="1:18" x14ac:dyDescent="0.2">
      <c r="A6" s="181" t="s">
        <v>15</v>
      </c>
      <c r="B6" s="181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54</v>
      </c>
      <c r="D7" s="36">
        <v>0</v>
      </c>
      <c r="E7" s="36">
        <v>165</v>
      </c>
      <c r="F7" s="72">
        <v>495</v>
      </c>
      <c r="G7" s="72">
        <v>91</v>
      </c>
      <c r="H7" s="72">
        <v>0</v>
      </c>
      <c r="I7" s="72">
        <v>8</v>
      </c>
      <c r="J7" s="72">
        <v>210</v>
      </c>
      <c r="K7" s="72">
        <v>14</v>
      </c>
      <c r="L7" s="4"/>
      <c r="M7" s="4">
        <f>SUM(C7:L7)</f>
        <v>1037</v>
      </c>
    </row>
    <row r="8" spans="1:18" x14ac:dyDescent="0.2">
      <c r="A8" s="38"/>
      <c r="B8" s="57" t="s">
        <v>156</v>
      </c>
      <c r="C8" s="36">
        <v>0</v>
      </c>
      <c r="D8" s="36">
        <v>0</v>
      </c>
      <c r="E8" s="36">
        <v>2</v>
      </c>
      <c r="F8" s="72">
        <v>41</v>
      </c>
      <c r="G8" s="72">
        <v>2</v>
      </c>
      <c r="H8" s="72">
        <v>0</v>
      </c>
      <c r="I8" s="72">
        <v>0</v>
      </c>
      <c r="J8" s="72">
        <v>45</v>
      </c>
      <c r="K8" s="72">
        <v>0</v>
      </c>
      <c r="L8" s="72">
        <v>9</v>
      </c>
      <c r="M8" s="4">
        <f>SUM(C8:L8)</f>
        <v>99</v>
      </c>
    </row>
    <row r="9" spans="1:18" ht="13.5" thickBot="1" x14ac:dyDescent="0.25">
      <c r="A9" s="38"/>
      <c r="B9" s="57" t="s">
        <v>157</v>
      </c>
      <c r="C9" s="3">
        <v>0</v>
      </c>
      <c r="D9" s="3">
        <v>0</v>
      </c>
      <c r="E9" s="3">
        <v>1</v>
      </c>
      <c r="F9" s="3">
        <v>49</v>
      </c>
      <c r="G9" s="3">
        <v>1</v>
      </c>
      <c r="H9" s="3">
        <v>0</v>
      </c>
      <c r="I9" s="3">
        <v>0</v>
      </c>
      <c r="J9" s="3">
        <v>21</v>
      </c>
      <c r="K9" s="3">
        <v>1</v>
      </c>
      <c r="L9" s="3"/>
      <c r="M9" s="3">
        <f>SUM(C9:K9)</f>
        <v>73</v>
      </c>
    </row>
    <row r="10" spans="1:18" ht="13.5" thickTop="1" x14ac:dyDescent="0.2">
      <c r="A10" s="48"/>
      <c r="B10" s="65" t="s">
        <v>14</v>
      </c>
      <c r="C10" s="45">
        <f>SUM(C7:C9)</f>
        <v>54</v>
      </c>
      <c r="D10" s="45">
        <f t="shared" ref="D10:M10" si="0">SUM(D7:D9)</f>
        <v>0</v>
      </c>
      <c r="E10" s="45">
        <f t="shared" si="0"/>
        <v>168</v>
      </c>
      <c r="F10" s="45">
        <f t="shared" si="0"/>
        <v>585</v>
      </c>
      <c r="G10" s="45">
        <f t="shared" si="0"/>
        <v>94</v>
      </c>
      <c r="H10" s="45">
        <f t="shared" si="0"/>
        <v>0</v>
      </c>
      <c r="I10" s="45">
        <f t="shared" si="0"/>
        <v>8</v>
      </c>
      <c r="J10" s="45">
        <f t="shared" si="0"/>
        <v>276</v>
      </c>
      <c r="K10" s="45">
        <f t="shared" si="0"/>
        <v>15</v>
      </c>
      <c r="L10" s="45">
        <f t="shared" si="0"/>
        <v>9</v>
      </c>
      <c r="M10" s="45">
        <f t="shared" si="0"/>
        <v>1209</v>
      </c>
    </row>
    <row r="11" spans="1:18" x14ac:dyDescent="0.2">
      <c r="B11" s="1"/>
      <c r="D11" s="2"/>
    </row>
    <row r="12" spans="1:18" x14ac:dyDescent="0.2">
      <c r="A12" s="181" t="s">
        <v>52</v>
      </c>
      <c r="B12" s="181"/>
      <c r="C12" s="40">
        <v>3294</v>
      </c>
      <c r="D12" s="66">
        <v>82</v>
      </c>
      <c r="E12" s="40">
        <v>14492</v>
      </c>
      <c r="F12" s="66">
        <v>12031</v>
      </c>
      <c r="G12" s="66">
        <v>9422</v>
      </c>
      <c r="H12" s="66">
        <v>104</v>
      </c>
      <c r="I12" s="66">
        <v>60</v>
      </c>
      <c r="J12" s="66">
        <v>11242</v>
      </c>
      <c r="K12" s="66">
        <v>1905</v>
      </c>
      <c r="L12" s="66"/>
      <c r="M12" s="66">
        <f>SUM(C12:K12)</f>
        <v>52632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B16" s="7" t="s">
        <v>55</v>
      </c>
      <c r="C16" s="8"/>
      <c r="D16" s="9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58" t="s">
        <v>8</v>
      </c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75</v>
      </c>
      <c r="D19" s="36">
        <v>1</v>
      </c>
      <c r="E19" s="36">
        <v>139</v>
      </c>
      <c r="F19" s="4">
        <v>203</v>
      </c>
      <c r="G19" s="4">
        <v>115</v>
      </c>
      <c r="H19" s="4">
        <v>1</v>
      </c>
      <c r="I19" s="4">
        <v>5</v>
      </c>
      <c r="J19" s="4">
        <v>77</v>
      </c>
      <c r="K19" s="4">
        <v>48</v>
      </c>
      <c r="L19" s="43">
        <f>SUM(C19:K19)</f>
        <v>664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18</v>
      </c>
      <c r="F21" s="4">
        <v>18</v>
      </c>
      <c r="G21" s="4">
        <v>19</v>
      </c>
      <c r="H21" s="4">
        <v>1</v>
      </c>
      <c r="I21" s="4">
        <v>2</v>
      </c>
      <c r="J21" s="4">
        <v>30</v>
      </c>
      <c r="K21" s="4">
        <v>0</v>
      </c>
      <c r="L21" s="61">
        <f>SUM(C21:K21)</f>
        <v>89</v>
      </c>
    </row>
    <row r="22" spans="1:13" x14ac:dyDescent="0.2">
      <c r="A22" s="38"/>
      <c r="B22" s="36" t="s">
        <v>10</v>
      </c>
      <c r="C22" s="4">
        <v>5</v>
      </c>
      <c r="D22" s="4">
        <v>3</v>
      </c>
      <c r="E22" s="4">
        <v>12</v>
      </c>
      <c r="F22" s="4">
        <v>60</v>
      </c>
      <c r="G22" s="4">
        <v>19</v>
      </c>
      <c r="H22" s="4">
        <v>2</v>
      </c>
      <c r="I22" s="4">
        <v>0</v>
      </c>
      <c r="J22" s="4">
        <v>29</v>
      </c>
      <c r="K22" s="4">
        <v>5</v>
      </c>
      <c r="L22" s="61">
        <f>SUM(C22:K22)</f>
        <v>135</v>
      </c>
    </row>
    <row r="23" spans="1:13" ht="13.5" thickBot="1" x14ac:dyDescent="0.25">
      <c r="A23" s="38"/>
      <c r="B23" s="36" t="s">
        <v>9</v>
      </c>
      <c r="C23" s="3">
        <v>144</v>
      </c>
      <c r="D23" s="3">
        <v>78</v>
      </c>
      <c r="E23" s="3">
        <v>377</v>
      </c>
      <c r="F23" s="3">
        <v>434</v>
      </c>
      <c r="G23" s="3">
        <v>293</v>
      </c>
      <c r="H23" s="3">
        <v>16</v>
      </c>
      <c r="I23" s="3">
        <v>15</v>
      </c>
      <c r="J23" s="3">
        <v>704</v>
      </c>
      <c r="K23" s="3">
        <v>195</v>
      </c>
      <c r="L23" s="59">
        <f>SUM(C23:K23)</f>
        <v>2256</v>
      </c>
    </row>
    <row r="24" spans="1:13" ht="13.5" thickTop="1" x14ac:dyDescent="0.2">
      <c r="A24" s="38"/>
      <c r="B24" s="60" t="s">
        <v>14</v>
      </c>
      <c r="C24" s="36">
        <f>SUM(C19:C23)</f>
        <v>226</v>
      </c>
      <c r="D24" s="36">
        <f t="shared" ref="D24:L24" si="1">SUM(D19:D23)</f>
        <v>82</v>
      </c>
      <c r="E24" s="36">
        <f t="shared" si="1"/>
        <v>547</v>
      </c>
      <c r="F24" s="36">
        <f t="shared" si="1"/>
        <v>715</v>
      </c>
      <c r="G24" s="36">
        <f t="shared" si="1"/>
        <v>447</v>
      </c>
      <c r="H24" s="36">
        <f t="shared" si="1"/>
        <v>20</v>
      </c>
      <c r="I24" s="36">
        <f t="shared" si="1"/>
        <v>22</v>
      </c>
      <c r="J24" s="36">
        <f t="shared" si="1"/>
        <v>840</v>
      </c>
      <c r="K24" s="36">
        <f t="shared" si="1"/>
        <v>252</v>
      </c>
      <c r="L24" s="36">
        <f t="shared" si="1"/>
        <v>3151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31.75</v>
      </c>
      <c r="D27" s="87">
        <v>0</v>
      </c>
      <c r="E27" s="87">
        <v>23.75</v>
      </c>
      <c r="F27" s="87">
        <v>18</v>
      </c>
      <c r="G27" s="87">
        <v>26</v>
      </c>
      <c r="H27" s="87">
        <v>10.25</v>
      </c>
      <c r="I27" s="87">
        <v>0</v>
      </c>
      <c r="J27" s="87">
        <v>66.25</v>
      </c>
      <c r="K27" s="87">
        <v>0</v>
      </c>
      <c r="L27" s="87">
        <v>0</v>
      </c>
      <c r="M27" s="250">
        <f>SUM(C27:L27)</f>
        <v>176</v>
      </c>
    </row>
    <row r="29" spans="1:13" x14ac:dyDescent="0.2">
      <c r="B29" s="77" t="s">
        <v>66</v>
      </c>
      <c r="C29" s="78"/>
      <c r="D29" s="79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16</v>
      </c>
      <c r="D31" s="36">
        <v>6</v>
      </c>
      <c r="E31" s="36">
        <v>64</v>
      </c>
      <c r="F31" s="4">
        <v>186</v>
      </c>
      <c r="G31" s="4">
        <v>193</v>
      </c>
      <c r="H31" s="4">
        <v>160</v>
      </c>
      <c r="I31" s="4">
        <v>4</v>
      </c>
      <c r="J31" s="4">
        <v>268</v>
      </c>
      <c r="K31" s="4">
        <v>0</v>
      </c>
      <c r="L31" s="4">
        <f>SUM(C31:K31)</f>
        <v>897</v>
      </c>
    </row>
    <row r="32" spans="1:13" x14ac:dyDescent="0.2">
      <c r="B32" s="60" t="s">
        <v>18</v>
      </c>
      <c r="C32" s="36">
        <v>8</v>
      </c>
      <c r="D32" s="36">
        <v>7</v>
      </c>
      <c r="E32" s="36">
        <v>57</v>
      </c>
      <c r="F32" s="4">
        <v>71</v>
      </c>
      <c r="G32" s="4">
        <v>55</v>
      </c>
      <c r="H32" s="4">
        <v>2</v>
      </c>
      <c r="I32" s="4">
        <v>0</v>
      </c>
      <c r="J32" s="4">
        <v>48</v>
      </c>
      <c r="K32" s="4">
        <v>0</v>
      </c>
      <c r="L32" s="4">
        <f>SUM(C32:K32)</f>
        <v>248</v>
      </c>
    </row>
    <row r="33" spans="1:12" x14ac:dyDescent="0.2">
      <c r="B33" s="60" t="s">
        <v>20</v>
      </c>
      <c r="C33" s="36">
        <v>177</v>
      </c>
      <c r="D33" s="36">
        <v>143</v>
      </c>
      <c r="E33" s="36">
        <v>250</v>
      </c>
      <c r="F33" s="36">
        <v>310</v>
      </c>
      <c r="G33" s="4">
        <v>266</v>
      </c>
      <c r="H33" s="4">
        <v>3</v>
      </c>
      <c r="I33" s="4">
        <v>2</v>
      </c>
      <c r="J33" s="4">
        <v>233</v>
      </c>
      <c r="K33" s="4">
        <v>7</v>
      </c>
      <c r="L33" s="4">
        <v>0</v>
      </c>
    </row>
    <row r="34" spans="1:12" x14ac:dyDescent="0.2">
      <c r="B34" s="60" t="s">
        <v>113</v>
      </c>
      <c r="C34" s="4">
        <f>12+71</f>
        <v>83</v>
      </c>
      <c r="D34" s="4">
        <f>12+41</f>
        <v>53</v>
      </c>
      <c r="E34" s="4">
        <f>16+26</f>
        <v>42</v>
      </c>
      <c r="F34" s="4">
        <f>10+27</f>
        <v>37</v>
      </c>
      <c r="G34" s="4">
        <f>11+32</f>
        <v>43</v>
      </c>
      <c r="H34" s="4">
        <f>13+27</f>
        <v>40</v>
      </c>
      <c r="I34" s="4">
        <v>0</v>
      </c>
      <c r="J34" s="4">
        <v>76</v>
      </c>
      <c r="K34" s="4">
        <f>1</f>
        <v>1</v>
      </c>
      <c r="L34" s="4">
        <f>SUM(C34:K34)</f>
        <v>375</v>
      </c>
    </row>
    <row r="35" spans="1:12" ht="13.5" thickBot="1" x14ac:dyDescent="0.25">
      <c r="B35" s="16" t="s">
        <v>19</v>
      </c>
      <c r="C35" s="3">
        <f>SUM(C76)</f>
        <v>5</v>
      </c>
      <c r="D35" s="3">
        <f t="shared" ref="D35:K35" si="2">SUM(D76)</f>
        <v>8</v>
      </c>
      <c r="E35" s="3">
        <f t="shared" si="2"/>
        <v>9</v>
      </c>
      <c r="F35" s="3">
        <f t="shared" si="2"/>
        <v>35</v>
      </c>
      <c r="G35" s="3">
        <f t="shared" si="2"/>
        <v>14</v>
      </c>
      <c r="H35" s="3">
        <f t="shared" si="2"/>
        <v>6</v>
      </c>
      <c r="I35" s="3">
        <f t="shared" si="2"/>
        <v>8</v>
      </c>
      <c r="J35" s="3">
        <f t="shared" si="2"/>
        <v>91</v>
      </c>
      <c r="K35" s="3">
        <f t="shared" si="2"/>
        <v>11</v>
      </c>
      <c r="L35" s="122">
        <f>SUM(C35:K35)</f>
        <v>187</v>
      </c>
    </row>
    <row r="36" spans="1:12" ht="13.5" thickTop="1" x14ac:dyDescent="0.2">
      <c r="B36" s="65" t="s">
        <v>14</v>
      </c>
      <c r="C36" s="45">
        <f t="shared" ref="C36:K36" si="3">SUM(C31:C35)</f>
        <v>289</v>
      </c>
      <c r="D36" s="45">
        <f t="shared" si="3"/>
        <v>217</v>
      </c>
      <c r="E36" s="45">
        <f t="shared" si="3"/>
        <v>422</v>
      </c>
      <c r="F36" s="45">
        <f t="shared" si="3"/>
        <v>639</v>
      </c>
      <c r="G36" s="45">
        <f t="shared" si="3"/>
        <v>571</v>
      </c>
      <c r="H36" s="45">
        <f t="shared" si="3"/>
        <v>211</v>
      </c>
      <c r="I36" s="45">
        <f t="shared" si="3"/>
        <v>14</v>
      </c>
      <c r="J36" s="45">
        <f t="shared" si="3"/>
        <v>716</v>
      </c>
      <c r="K36" s="45">
        <f t="shared" si="3"/>
        <v>19</v>
      </c>
      <c r="L36" s="62">
        <f>SUM(C36:K36)</f>
        <v>3098</v>
      </c>
    </row>
    <row r="38" spans="1:12" x14ac:dyDescent="0.2">
      <c r="A38" s="186" t="s">
        <v>57</v>
      </c>
      <c r="B38" s="187"/>
      <c r="C38" s="40">
        <v>1</v>
      </c>
      <c r="D38" s="40">
        <v>0</v>
      </c>
      <c r="E38" s="40">
        <v>1</v>
      </c>
      <c r="F38" s="66">
        <v>13</v>
      </c>
      <c r="G38" s="66">
        <v>5</v>
      </c>
      <c r="H38" s="66">
        <v>0</v>
      </c>
      <c r="I38" s="66">
        <v>0</v>
      </c>
      <c r="J38" s="66">
        <v>6</v>
      </c>
      <c r="K38" s="66">
        <v>0</v>
      </c>
      <c r="L38" s="66">
        <f>SUM(C38:K38)</f>
        <v>26</v>
      </c>
    </row>
    <row r="39" spans="1:12" ht="13.5" thickBot="1" x14ac:dyDescent="0.25">
      <c r="A39" s="190" t="s">
        <v>158</v>
      </c>
      <c r="B39" s="191"/>
      <c r="C39" s="3">
        <v>0</v>
      </c>
      <c r="D39" s="3">
        <v>0</v>
      </c>
      <c r="E39" s="3">
        <v>0</v>
      </c>
      <c r="F39" s="3">
        <v>33</v>
      </c>
      <c r="G39" s="3">
        <v>0</v>
      </c>
      <c r="H39" s="3">
        <v>16</v>
      </c>
      <c r="I39" s="3">
        <v>0</v>
      </c>
      <c r="J39" s="3">
        <v>0</v>
      </c>
      <c r="K39" s="3">
        <v>0</v>
      </c>
      <c r="L39" s="122">
        <f>SUM(C39:K39)</f>
        <v>49</v>
      </c>
    </row>
    <row r="40" spans="1:12" ht="13.5" thickTop="1" x14ac:dyDescent="0.2">
      <c r="A40" s="71"/>
      <c r="B40" s="60" t="s">
        <v>7</v>
      </c>
      <c r="C40" s="36">
        <f>SUM(C38:C39)</f>
        <v>1</v>
      </c>
      <c r="D40" s="36">
        <f t="shared" ref="D40:L40" si="4">SUM(D38:D39)</f>
        <v>0</v>
      </c>
      <c r="E40" s="36">
        <f t="shared" si="4"/>
        <v>1</v>
      </c>
      <c r="F40" s="36">
        <f t="shared" si="4"/>
        <v>46</v>
      </c>
      <c r="G40" s="36">
        <f t="shared" si="4"/>
        <v>5</v>
      </c>
      <c r="H40" s="36">
        <f t="shared" si="4"/>
        <v>16</v>
      </c>
      <c r="I40" s="36">
        <f t="shared" si="4"/>
        <v>0</v>
      </c>
      <c r="J40" s="36">
        <f t="shared" si="4"/>
        <v>6</v>
      </c>
      <c r="K40" s="36">
        <f t="shared" si="4"/>
        <v>0</v>
      </c>
      <c r="L40" s="36">
        <f t="shared" si="4"/>
        <v>75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69" t="s">
        <v>56</v>
      </c>
      <c r="B42" s="65"/>
      <c r="C42" s="45">
        <v>0</v>
      </c>
      <c r="D42" s="45">
        <v>0</v>
      </c>
      <c r="E42" s="45">
        <v>2</v>
      </c>
      <c r="F42" s="68">
        <v>0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f>SUM(C42:K42)</f>
        <v>2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1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1</v>
      </c>
      <c r="K44" s="40">
        <v>0</v>
      </c>
      <c r="L44" s="40">
        <f>SUM(C44:K44)</f>
        <v>2</v>
      </c>
    </row>
    <row r="45" spans="1:12" x14ac:dyDescent="0.2">
      <c r="A45" s="69" t="s">
        <v>22</v>
      </c>
      <c r="B45" s="65"/>
      <c r="C45" s="45">
        <v>0</v>
      </c>
      <c r="D45" s="45">
        <v>2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15</v>
      </c>
      <c r="K45" s="45">
        <v>0</v>
      </c>
      <c r="L45" s="45">
        <f>SUM(C45:K45)</f>
        <v>17</v>
      </c>
    </row>
    <row r="46" spans="1:12" x14ac:dyDescent="0.2">
      <c r="A46" s="38"/>
    </row>
    <row r="47" spans="1:12" x14ac:dyDescent="0.2">
      <c r="A47" s="200" t="s">
        <v>19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/>
      <c r="D49" s="36"/>
      <c r="E49" s="36"/>
      <c r="F49" s="4"/>
      <c r="G49" s="4">
        <v>4</v>
      </c>
      <c r="H49" s="4">
        <v>2</v>
      </c>
      <c r="I49" s="4">
        <v>4</v>
      </c>
      <c r="J49" s="4">
        <v>12</v>
      </c>
      <c r="K49" s="4">
        <v>1</v>
      </c>
      <c r="L49" s="4">
        <f t="shared" ref="L49:L76" si="5">SUM(C49:K49)</f>
        <v>23</v>
      </c>
    </row>
    <row r="50" spans="2:12" x14ac:dyDescent="0.2">
      <c r="B50" s="42" t="s">
        <v>119</v>
      </c>
      <c r="C50" s="36"/>
      <c r="D50" s="36"/>
      <c r="E50" s="4"/>
      <c r="F50" s="36"/>
      <c r="G50" s="36"/>
      <c r="H50" s="36"/>
      <c r="I50" s="36"/>
      <c r="J50" s="36"/>
      <c r="K50" s="36"/>
      <c r="L50" s="4">
        <f t="shared" si="5"/>
        <v>0</v>
      </c>
    </row>
    <row r="51" spans="2:12" x14ac:dyDescent="0.2">
      <c r="B51" s="42" t="s">
        <v>108</v>
      </c>
      <c r="C51" s="36"/>
      <c r="D51" s="36"/>
      <c r="E51" s="36"/>
      <c r="F51" s="36">
        <v>20</v>
      </c>
      <c r="G51" s="36"/>
      <c r="H51" s="4"/>
      <c r="I51" s="36"/>
      <c r="J51" s="4">
        <v>18</v>
      </c>
      <c r="K51" s="4"/>
      <c r="L51" s="4">
        <f t="shared" si="5"/>
        <v>38</v>
      </c>
    </row>
    <row r="52" spans="2:12" x14ac:dyDescent="0.2">
      <c r="B52" s="42" t="s">
        <v>144</v>
      </c>
      <c r="C52" s="36"/>
      <c r="D52" s="36"/>
      <c r="E52" s="36"/>
      <c r="F52" s="36"/>
      <c r="G52" s="36"/>
      <c r="H52" s="36"/>
      <c r="I52" s="36"/>
      <c r="J52" s="4"/>
      <c r="K52" s="4"/>
      <c r="L52" s="4">
        <f t="shared" si="5"/>
        <v>0</v>
      </c>
    </row>
    <row r="53" spans="2:12" x14ac:dyDescent="0.2">
      <c r="B53" s="42" t="s">
        <v>159</v>
      </c>
      <c r="C53" s="4">
        <v>2</v>
      </c>
      <c r="D53" s="36">
        <v>2</v>
      </c>
      <c r="E53" s="36">
        <v>2</v>
      </c>
      <c r="F53" s="36">
        <v>1</v>
      </c>
      <c r="G53" s="36"/>
      <c r="H53" s="36"/>
      <c r="I53" s="4">
        <v>1</v>
      </c>
      <c r="J53" s="4">
        <v>9</v>
      </c>
      <c r="K53" s="4"/>
      <c r="L53" s="4">
        <f t="shared" si="5"/>
        <v>17</v>
      </c>
    </row>
    <row r="54" spans="2:12" x14ac:dyDescent="0.2">
      <c r="B54" s="42" t="s">
        <v>109</v>
      </c>
      <c r="C54" s="4"/>
      <c r="D54" s="36"/>
      <c r="E54" s="4">
        <v>1</v>
      </c>
      <c r="F54" s="4"/>
      <c r="G54" s="36"/>
      <c r="H54" s="36"/>
      <c r="I54" s="36"/>
      <c r="J54" s="4"/>
      <c r="K54" s="36"/>
      <c r="L54" s="4">
        <f t="shared" si="5"/>
        <v>1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4">
        <f t="shared" si="5"/>
        <v>0</v>
      </c>
    </row>
    <row r="56" spans="2:12" x14ac:dyDescent="0.2">
      <c r="B56" s="42" t="s">
        <v>93</v>
      </c>
      <c r="C56" s="36"/>
      <c r="D56" s="36"/>
      <c r="E56" s="4"/>
      <c r="F56" s="4"/>
      <c r="G56" s="4"/>
      <c r="H56" s="4"/>
      <c r="I56" s="4"/>
      <c r="J56" s="4"/>
      <c r="K56" s="4"/>
      <c r="L56" s="4">
        <f t="shared" si="5"/>
        <v>0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36"/>
      <c r="K57" s="4"/>
      <c r="L57" s="4">
        <f t="shared" si="5"/>
        <v>0</v>
      </c>
    </row>
    <row r="58" spans="2:12" x14ac:dyDescent="0.2">
      <c r="B58" s="42" t="s">
        <v>107</v>
      </c>
      <c r="C58" s="36"/>
      <c r="D58" s="36"/>
      <c r="E58" s="4"/>
      <c r="F58" s="4"/>
      <c r="G58" s="4"/>
      <c r="H58" s="4"/>
      <c r="I58" s="36"/>
      <c r="J58" s="4"/>
      <c r="K58" s="4"/>
      <c r="L58" s="4">
        <f t="shared" si="5"/>
        <v>0</v>
      </c>
    </row>
    <row r="59" spans="2:12" x14ac:dyDescent="0.2">
      <c r="B59" s="42" t="s">
        <v>110</v>
      </c>
      <c r="C59" s="36"/>
      <c r="D59" s="36"/>
      <c r="E59" s="4"/>
      <c r="F59" s="4"/>
      <c r="G59" s="4"/>
      <c r="H59" s="4"/>
      <c r="I59" s="36"/>
      <c r="J59" s="4"/>
      <c r="K59" s="4"/>
      <c r="L59" s="4">
        <f t="shared" si="5"/>
        <v>0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/>
      <c r="J60" s="4"/>
      <c r="K60" s="4"/>
      <c r="L60" s="4">
        <f t="shared" si="5"/>
        <v>0</v>
      </c>
    </row>
    <row r="61" spans="2:12" x14ac:dyDescent="0.2">
      <c r="B61" s="38" t="s">
        <v>42</v>
      </c>
      <c r="C61" s="36">
        <v>1</v>
      </c>
      <c r="D61" s="36">
        <v>2</v>
      </c>
      <c r="E61" s="4">
        <v>1</v>
      </c>
      <c r="F61" s="4">
        <v>3</v>
      </c>
      <c r="G61" s="4"/>
      <c r="H61" s="4">
        <v>2</v>
      </c>
      <c r="I61" s="4"/>
      <c r="J61" s="4">
        <v>9</v>
      </c>
      <c r="K61" s="4">
        <v>1</v>
      </c>
      <c r="L61" s="4">
        <f t="shared" si="5"/>
        <v>19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4">
        <f t="shared" si="5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5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5"/>
        <v>0</v>
      </c>
    </row>
    <row r="65" spans="1:13" x14ac:dyDescent="0.2">
      <c r="B65" s="42" t="s">
        <v>163</v>
      </c>
      <c r="C65" s="36"/>
      <c r="D65" s="36"/>
      <c r="E65" s="36"/>
      <c r="F65" s="36"/>
      <c r="G65" s="4"/>
      <c r="H65" s="4"/>
      <c r="I65" s="4"/>
      <c r="J65" s="4"/>
      <c r="K65" s="4"/>
      <c r="L65" s="4">
        <f t="shared" si="5"/>
        <v>0</v>
      </c>
    </row>
    <row r="66" spans="1:13" x14ac:dyDescent="0.2">
      <c r="B66" s="38" t="s">
        <v>83</v>
      </c>
      <c r="C66" s="4"/>
      <c r="D66" s="4">
        <v>1</v>
      </c>
      <c r="E66" s="4">
        <v>2</v>
      </c>
      <c r="F66" s="4">
        <v>10</v>
      </c>
      <c r="G66" s="4">
        <v>6</v>
      </c>
      <c r="H66" s="4"/>
      <c r="I66" s="4"/>
      <c r="J66" s="4">
        <v>30</v>
      </c>
      <c r="K66" s="4">
        <v>9</v>
      </c>
      <c r="L66" s="4">
        <f t="shared" si="5"/>
        <v>58</v>
      </c>
    </row>
    <row r="67" spans="1:13" x14ac:dyDescent="0.2">
      <c r="B67" s="42" t="s">
        <v>161</v>
      </c>
      <c r="C67" s="4">
        <v>1</v>
      </c>
      <c r="D67" s="4"/>
      <c r="E67" s="4"/>
      <c r="F67" s="4"/>
      <c r="G67" s="4"/>
      <c r="H67" s="4"/>
      <c r="I67" s="4"/>
      <c r="J67" s="4"/>
      <c r="K67" s="4"/>
      <c r="L67" s="4">
        <f t="shared" si="5"/>
        <v>1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5"/>
        <v>0</v>
      </c>
    </row>
    <row r="69" spans="1:13" x14ac:dyDescent="0.2">
      <c r="B69" s="42" t="s">
        <v>94</v>
      </c>
      <c r="C69" s="4"/>
      <c r="D69" s="36"/>
      <c r="E69" s="4"/>
      <c r="F69" s="4"/>
      <c r="G69" s="4"/>
      <c r="H69" s="4"/>
      <c r="I69" s="4"/>
      <c r="J69" s="4"/>
      <c r="K69" s="4"/>
      <c r="L69" s="4">
        <f t="shared" si="5"/>
        <v>0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5"/>
        <v>0</v>
      </c>
    </row>
    <row r="71" spans="1:13" x14ac:dyDescent="0.2">
      <c r="B71" s="42" t="s">
        <v>44</v>
      </c>
      <c r="C71" s="4">
        <v>1</v>
      </c>
      <c r="D71" s="36">
        <v>3</v>
      </c>
      <c r="E71" s="4">
        <v>3</v>
      </c>
      <c r="F71" s="4"/>
      <c r="G71" s="4">
        <v>3</v>
      </c>
      <c r="H71" s="4">
        <v>2</v>
      </c>
      <c r="I71" s="4">
        <v>3</v>
      </c>
      <c r="J71" s="4">
        <v>9</v>
      </c>
      <c r="K71" s="4"/>
      <c r="L71" s="4">
        <f t="shared" si="5"/>
        <v>24</v>
      </c>
    </row>
    <row r="72" spans="1:13" x14ac:dyDescent="0.2">
      <c r="B72" s="42" t="s">
        <v>43</v>
      </c>
      <c r="C72" s="36"/>
      <c r="D72" s="36"/>
      <c r="E72" s="36"/>
      <c r="F72" s="4">
        <v>1</v>
      </c>
      <c r="G72" s="4"/>
      <c r="H72" s="4"/>
      <c r="I72" s="4"/>
      <c r="J72" s="36">
        <v>1</v>
      </c>
      <c r="K72" s="4"/>
      <c r="L72" s="4">
        <f t="shared" si="5"/>
        <v>2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4">
        <f t="shared" si="5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36"/>
      <c r="K74" s="4"/>
      <c r="L74" s="4">
        <f t="shared" si="5"/>
        <v>0</v>
      </c>
    </row>
    <row r="75" spans="1:13" ht="13.5" thickBot="1" x14ac:dyDescent="0.25">
      <c r="B75" s="80" t="s">
        <v>67</v>
      </c>
      <c r="C75" s="3"/>
      <c r="D75" s="3"/>
      <c r="E75" s="3"/>
      <c r="F75" s="3"/>
      <c r="G75" s="3">
        <v>1</v>
      </c>
      <c r="H75" s="3"/>
      <c r="I75" s="3"/>
      <c r="J75" s="3">
        <v>3</v>
      </c>
      <c r="K75" s="3"/>
      <c r="L75" s="122">
        <f t="shared" si="5"/>
        <v>4</v>
      </c>
    </row>
    <row r="76" spans="1:13" ht="13.5" thickTop="1" x14ac:dyDescent="0.2">
      <c r="B76" s="69" t="s">
        <v>7</v>
      </c>
      <c r="C76" s="45">
        <f t="shared" ref="C76:K76" si="6">SUM(C49:C75)</f>
        <v>5</v>
      </c>
      <c r="D76" s="45">
        <f t="shared" si="6"/>
        <v>8</v>
      </c>
      <c r="E76" s="45">
        <f t="shared" si="6"/>
        <v>9</v>
      </c>
      <c r="F76" s="45">
        <f t="shared" si="6"/>
        <v>35</v>
      </c>
      <c r="G76" s="45">
        <f t="shared" si="6"/>
        <v>14</v>
      </c>
      <c r="H76" s="45">
        <f t="shared" si="6"/>
        <v>6</v>
      </c>
      <c r="I76" s="45">
        <f t="shared" si="6"/>
        <v>8</v>
      </c>
      <c r="J76" s="45">
        <f t="shared" si="6"/>
        <v>91</v>
      </c>
      <c r="K76" s="45">
        <f t="shared" si="6"/>
        <v>11</v>
      </c>
      <c r="L76" s="123">
        <f t="shared" si="5"/>
        <v>187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2"/>
      <c r="C78" s="215"/>
      <c r="D78" s="6"/>
      <c r="E78" s="186" t="s">
        <v>37</v>
      </c>
      <c r="F78" s="192"/>
      <c r="G78" s="215"/>
      <c r="I78" s="186" t="s">
        <v>45</v>
      </c>
      <c r="J78" s="192"/>
      <c r="K78" s="215"/>
      <c r="L78" s="186"/>
      <c r="M78" s="6"/>
    </row>
    <row r="79" spans="1:13" x14ac:dyDescent="0.2">
      <c r="A79" s="94" t="s">
        <v>123</v>
      </c>
      <c r="C79" s="43">
        <v>2</v>
      </c>
      <c r="D79" s="6"/>
      <c r="E79" s="38" t="s">
        <v>9</v>
      </c>
      <c r="F79" s="36"/>
      <c r="G79" s="43">
        <f>555+24</f>
        <v>579</v>
      </c>
      <c r="I79" s="42" t="s">
        <v>133</v>
      </c>
      <c r="J79" s="36"/>
      <c r="K79" s="36"/>
      <c r="L79" s="43">
        <v>460</v>
      </c>
      <c r="M79" s="6"/>
    </row>
    <row r="80" spans="1:13" x14ac:dyDescent="0.2">
      <c r="A80" s="42" t="s">
        <v>29</v>
      </c>
      <c r="B80" s="36"/>
      <c r="C80" s="43">
        <v>0</v>
      </c>
      <c r="D80" s="6"/>
      <c r="E80" s="38" t="s">
        <v>10</v>
      </c>
      <c r="F80" s="36"/>
      <c r="G80" s="43">
        <f>115+44</f>
        <v>159</v>
      </c>
      <c r="I80" s="42" t="s">
        <v>134</v>
      </c>
      <c r="J80" s="36"/>
      <c r="K80" s="36"/>
      <c r="L80" s="43">
        <v>74</v>
      </c>
      <c r="M80" s="6"/>
    </row>
    <row r="81" spans="1:13" x14ac:dyDescent="0.2">
      <c r="A81" s="42" t="s">
        <v>124</v>
      </c>
      <c r="B81" s="36"/>
      <c r="C81" s="43">
        <v>40</v>
      </c>
      <c r="D81" s="6"/>
      <c r="E81" s="38" t="s">
        <v>11</v>
      </c>
      <c r="F81" s="36"/>
      <c r="G81" s="43">
        <v>9</v>
      </c>
      <c r="I81" s="42" t="s">
        <v>46</v>
      </c>
      <c r="J81" s="36"/>
      <c r="K81" s="36"/>
      <c r="L81" s="43">
        <v>35</v>
      </c>
      <c r="M81" s="6"/>
    </row>
    <row r="82" spans="1:13" x14ac:dyDescent="0.2">
      <c r="A82" s="42" t="s">
        <v>125</v>
      </c>
      <c r="B82" s="57"/>
      <c r="C82" s="43">
        <f>769+19+4</f>
        <v>792</v>
      </c>
      <c r="D82" s="6"/>
      <c r="E82" s="38" t="s">
        <v>38</v>
      </c>
      <c r="F82" s="36"/>
      <c r="G82" s="43">
        <f>182+0</f>
        <v>182</v>
      </c>
      <c r="I82" s="42" t="s">
        <v>47</v>
      </c>
      <c r="J82" s="36"/>
      <c r="K82" s="36"/>
      <c r="L82" s="43">
        <v>8</v>
      </c>
      <c r="M82" s="6"/>
    </row>
    <row r="83" spans="1:13" x14ac:dyDescent="0.2">
      <c r="A83" s="42" t="s">
        <v>106</v>
      </c>
      <c r="B83" s="57"/>
      <c r="C83" s="43">
        <f>18+3+6</f>
        <v>27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28</v>
      </c>
      <c r="M83" s="6"/>
    </row>
    <row r="84" spans="1:13" x14ac:dyDescent="0.2">
      <c r="A84" s="42" t="s">
        <v>146</v>
      </c>
      <c r="B84" s="57"/>
      <c r="C84" s="43">
        <v>3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f>73+1</f>
        <v>74</v>
      </c>
    </row>
    <row r="86" spans="1:13" x14ac:dyDescent="0.2">
      <c r="A86" s="42" t="s">
        <v>126</v>
      </c>
      <c r="B86" s="36"/>
      <c r="C86" s="43">
        <v>0</v>
      </c>
      <c r="E86" s="186" t="s">
        <v>31</v>
      </c>
      <c r="F86" s="192"/>
      <c r="G86" s="215"/>
      <c r="H86" s="186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53</v>
      </c>
    </row>
    <row r="88" spans="1:13" x14ac:dyDescent="0.2">
      <c r="A88" s="104" t="s">
        <v>128</v>
      </c>
      <c r="B88" s="57"/>
      <c r="C88" s="43">
        <v>1</v>
      </c>
      <c r="E88" s="42" t="s">
        <v>33</v>
      </c>
      <c r="F88" s="57"/>
      <c r="G88" s="57"/>
      <c r="H88" s="49">
        <v>39</v>
      </c>
    </row>
    <row r="89" spans="1:13" x14ac:dyDescent="0.2">
      <c r="A89" s="104" t="s">
        <v>18</v>
      </c>
      <c r="C89" s="61">
        <v>8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f>1+361+77+57</f>
        <v>496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410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/>
      <c r="E96" s="17"/>
      <c r="F96" t="s">
        <v>416</v>
      </c>
      <c r="H96" s="1"/>
      <c r="I96" s="71" t="s">
        <v>139</v>
      </c>
      <c r="J96" s="60"/>
      <c r="L96">
        <v>73</v>
      </c>
      <c r="M96" s="43"/>
    </row>
    <row r="97" spans="1:13" x14ac:dyDescent="0.2">
      <c r="A97" s="1"/>
      <c r="B97" s="17" t="s">
        <v>147</v>
      </c>
      <c r="C97" s="17"/>
      <c r="D97" s="17">
        <v>26</v>
      </c>
      <c r="E97" s="17">
        <v>29</v>
      </c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132">
        <v>280</v>
      </c>
      <c r="E98" s="22"/>
      <c r="I98" s="71" t="s">
        <v>154</v>
      </c>
      <c r="J98" s="60"/>
      <c r="K98" s="60"/>
      <c r="L98" s="57">
        <v>4</v>
      </c>
      <c r="M98" s="74"/>
    </row>
    <row r="99" spans="1:13" x14ac:dyDescent="0.2">
      <c r="B99" s="37" t="s">
        <v>151</v>
      </c>
      <c r="C99" s="22"/>
      <c r="D99" s="22">
        <v>97</v>
      </c>
      <c r="E99" s="22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32</v>
      </c>
      <c r="E100" s="22"/>
      <c r="H100" s="1"/>
      <c r="I100" s="69"/>
      <c r="J100" s="65"/>
      <c r="K100" s="98"/>
      <c r="L100" s="98"/>
      <c r="M100" s="99"/>
    </row>
    <row r="101" spans="1:13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37"/>
      <c r="H102" s="1"/>
      <c r="I102" s="199" t="s">
        <v>112</v>
      </c>
      <c r="J102" s="199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78</v>
      </c>
      <c r="E103" s="37"/>
      <c r="I103" s="102" t="s">
        <v>116</v>
      </c>
      <c r="J103" s="40"/>
      <c r="K103" s="103">
        <v>1052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84</v>
      </c>
      <c r="E104" s="37"/>
      <c r="I104" s="104" t="s">
        <v>101</v>
      </c>
      <c r="J104" s="4"/>
      <c r="K104" s="105">
        <v>162</v>
      </c>
      <c r="L104" s="93"/>
      <c r="M104" s="93"/>
    </row>
    <row r="105" spans="1:13" x14ac:dyDescent="0.2">
      <c r="B105" s="21" t="s">
        <v>99</v>
      </c>
      <c r="C105" s="21"/>
      <c r="D105" s="20">
        <v>50</v>
      </c>
      <c r="E105" s="20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39">
        <v>2</v>
      </c>
      <c r="E107" s="17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21"/>
      <c r="I108" s="110" t="s">
        <v>23</v>
      </c>
      <c r="J108" s="101"/>
      <c r="K108" s="36">
        <v>10</v>
      </c>
      <c r="L108" s="36">
        <v>1</v>
      </c>
      <c r="M108" s="109">
        <v>11</v>
      </c>
    </row>
    <row r="109" spans="1:13" x14ac:dyDescent="0.2">
      <c r="A109" s="1" t="s">
        <v>77</v>
      </c>
      <c r="B109" s="20" t="s">
        <v>82</v>
      </c>
      <c r="C109" s="20"/>
      <c r="D109" s="17">
        <v>1</v>
      </c>
      <c r="E109" s="17">
        <v>67</v>
      </c>
      <c r="I109" s="110" t="s">
        <v>24</v>
      </c>
      <c r="J109" s="101"/>
      <c r="K109" s="36">
        <v>20</v>
      </c>
      <c r="L109" s="36">
        <v>1</v>
      </c>
      <c r="M109" s="109">
        <v>21</v>
      </c>
    </row>
    <row r="110" spans="1:13" x14ac:dyDescent="0.2">
      <c r="A110" s="1"/>
      <c r="B110" s="115" t="s">
        <v>153</v>
      </c>
      <c r="D110" s="20">
        <v>6</v>
      </c>
      <c r="E110" s="20"/>
      <c r="I110" s="110" t="s">
        <v>156</v>
      </c>
      <c r="J110" s="101"/>
      <c r="K110" s="36">
        <v>5</v>
      </c>
      <c r="L110" s="36"/>
      <c r="M110" s="109"/>
    </row>
    <row r="111" spans="1:13" x14ac:dyDescent="0.2">
      <c r="A111" s="1"/>
      <c r="B111" s="39" t="s">
        <v>182</v>
      </c>
      <c r="C111" s="20"/>
      <c r="D111" s="116">
        <v>99</v>
      </c>
      <c r="E111" s="20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116">
        <v>96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80</v>
      </c>
      <c r="E113" s="20"/>
      <c r="I113" s="253" t="s">
        <v>111</v>
      </c>
      <c r="J113" s="253"/>
      <c r="K113" s="121">
        <v>1</v>
      </c>
      <c r="L113" s="110"/>
      <c r="M113" s="101"/>
    </row>
    <row r="114" spans="1:13" x14ac:dyDescent="0.2">
      <c r="B114" s="116" t="s">
        <v>132</v>
      </c>
      <c r="C114" s="20"/>
      <c r="D114" s="116">
        <v>203</v>
      </c>
      <c r="E114" s="20"/>
      <c r="I114" s="253" t="s">
        <v>143</v>
      </c>
      <c r="J114" s="253"/>
      <c r="K114" s="121">
        <v>1</v>
      </c>
      <c r="L114" s="94" t="s">
        <v>145</v>
      </c>
      <c r="M114" s="101"/>
    </row>
    <row r="115" spans="1:13" x14ac:dyDescent="0.2">
      <c r="D115">
        <f>SUM(D95:D114)</f>
        <v>1544</v>
      </c>
      <c r="E115">
        <f>SUM(E95:E114)</f>
        <v>96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6"/>
      <c r="D117" s="126"/>
      <c r="E117" s="126"/>
      <c r="F117" s="127"/>
    </row>
    <row r="118" spans="1:13" x14ac:dyDescent="0.2">
      <c r="A118" s="181" t="s">
        <v>58</v>
      </c>
      <c r="B118" s="198"/>
      <c r="C118" s="48"/>
    </row>
    <row r="119" spans="1:13" x14ac:dyDescent="0.2">
      <c r="A119" s="47"/>
      <c r="B119" s="70"/>
      <c r="C119" s="40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A120" s="38"/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47256</v>
      </c>
      <c r="C122" s="36">
        <f>86+42+23</f>
        <v>151</v>
      </c>
      <c r="D122" s="36">
        <v>1460</v>
      </c>
      <c r="E122" s="4">
        <f>4+43+14+8+83+25+30+67+30+1</f>
        <v>305</v>
      </c>
      <c r="F122" s="4">
        <f>55+3+20+4+2+1+5+4+5+2+2+38+16+11+4+71+3+4+2+9+3+10+2+6+19+14+4+8+1+15+2+24+7+1+7+3+12+13+9+3+24+5+3+1+2+3</f>
        <v>462</v>
      </c>
      <c r="G122" s="36">
        <v>1040</v>
      </c>
      <c r="H122" s="4">
        <f>20+188+2044</f>
        <v>2252</v>
      </c>
      <c r="I122" s="4">
        <v>94</v>
      </c>
      <c r="J122" s="36">
        <v>0</v>
      </c>
      <c r="K122" s="36">
        <v>17</v>
      </c>
      <c r="L122" s="36">
        <v>637</v>
      </c>
      <c r="M122" s="43">
        <f>SUM(B122:L122)</f>
        <v>53674</v>
      </c>
    </row>
    <row r="123" spans="1:13" x14ac:dyDescent="0.2">
      <c r="A123" s="48"/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97</v>
      </c>
      <c r="F126" s="186" t="s">
        <v>49</v>
      </c>
      <c r="G126" s="187"/>
      <c r="H126" s="75">
        <v>4</v>
      </c>
      <c r="J126" s="186" t="s">
        <v>75</v>
      </c>
      <c r="K126" s="187"/>
      <c r="L126" s="186"/>
      <c r="M126" s="41">
        <v>0</v>
      </c>
    </row>
    <row r="127" spans="1:13" x14ac:dyDescent="0.2">
      <c r="A127" s="203" t="s">
        <v>84</v>
      </c>
      <c r="B127" s="200"/>
      <c r="C127" s="49">
        <v>149</v>
      </c>
      <c r="F127" s="190" t="s">
        <v>50</v>
      </c>
      <c r="G127" s="191"/>
      <c r="H127" s="76">
        <v>27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6481</v>
      </c>
      <c r="D128" s="2" t="s">
        <v>155</v>
      </c>
    </row>
    <row r="129" spans="1:13" ht="13.5" customHeight="1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123</v>
      </c>
      <c r="D132" s="36">
        <v>37</v>
      </c>
      <c r="E132" s="36">
        <v>588</v>
      </c>
      <c r="F132" s="4">
        <v>437</v>
      </c>
      <c r="G132" s="4">
        <v>179</v>
      </c>
      <c r="H132" s="4">
        <v>11</v>
      </c>
      <c r="I132" s="4">
        <v>59</v>
      </c>
      <c r="J132" s="4">
        <v>166</v>
      </c>
      <c r="K132" s="4">
        <v>441</v>
      </c>
      <c r="L132" s="4">
        <f>SUM(C132:K132)</f>
        <v>2041</v>
      </c>
    </row>
    <row r="133" spans="1:13" x14ac:dyDescent="0.2">
      <c r="A133" s="38"/>
      <c r="B133" s="264" t="s">
        <v>9</v>
      </c>
      <c r="C133" s="133" t="s">
        <v>181</v>
      </c>
      <c r="D133" s="133" t="s">
        <v>181</v>
      </c>
      <c r="E133" s="134" t="s">
        <v>181</v>
      </c>
      <c r="F133" s="134">
        <v>153</v>
      </c>
      <c r="G133" s="134" t="s">
        <v>181</v>
      </c>
      <c r="H133" s="134" t="s">
        <v>181</v>
      </c>
      <c r="I133" s="134" t="s">
        <v>181</v>
      </c>
      <c r="J133" s="134">
        <v>87</v>
      </c>
      <c r="K133" s="134" t="s">
        <v>181</v>
      </c>
      <c r="L133" s="4">
        <f>SUM(C133:K133)</f>
        <v>240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3</v>
      </c>
      <c r="E134" s="208">
        <v>0</v>
      </c>
      <c r="F134" s="208">
        <v>2</v>
      </c>
      <c r="G134" s="208">
        <v>0</v>
      </c>
      <c r="H134" s="208">
        <v>2</v>
      </c>
      <c r="I134" s="135" t="s">
        <v>181</v>
      </c>
      <c r="J134" s="208">
        <v>2</v>
      </c>
      <c r="K134" s="208">
        <v>0</v>
      </c>
      <c r="L134" s="208">
        <f>SUM(C134:K134)</f>
        <v>9</v>
      </c>
    </row>
    <row r="135" spans="1:13" ht="13.5" thickTop="1" x14ac:dyDescent="0.2">
      <c r="B135" s="60" t="s">
        <v>14</v>
      </c>
      <c r="C135" s="36">
        <f>SUM(C132:C134)</f>
        <v>123</v>
      </c>
      <c r="D135" s="36">
        <f>SUM(D132:D134)</f>
        <v>40</v>
      </c>
      <c r="E135" s="36">
        <f t="shared" ref="E135:L135" si="7">SUM(E132:E134)</f>
        <v>588</v>
      </c>
      <c r="F135" s="36">
        <f t="shared" si="7"/>
        <v>592</v>
      </c>
      <c r="G135" s="36">
        <f t="shared" si="7"/>
        <v>179</v>
      </c>
      <c r="H135" s="36">
        <f t="shared" si="7"/>
        <v>13</v>
      </c>
      <c r="I135" s="36">
        <f t="shared" si="7"/>
        <v>59</v>
      </c>
      <c r="J135" s="36">
        <f t="shared" si="7"/>
        <v>255</v>
      </c>
      <c r="K135" s="36">
        <f t="shared" si="7"/>
        <v>441</v>
      </c>
      <c r="L135" s="57">
        <f t="shared" si="7"/>
        <v>2290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513</v>
      </c>
      <c r="B141" s="27"/>
      <c r="C141" s="27"/>
      <c r="D141" s="27"/>
      <c r="E141" s="27"/>
      <c r="F141" s="28"/>
      <c r="G141" s="163" t="s">
        <v>514</v>
      </c>
      <c r="H141" s="29"/>
      <c r="I141" s="82"/>
      <c r="J141" s="83"/>
      <c r="K141" s="84"/>
      <c r="L141" s="84"/>
      <c r="M141" s="119"/>
    </row>
    <row r="142" spans="1:13" x14ac:dyDescent="0.2">
      <c r="A142" s="170" t="s">
        <v>536</v>
      </c>
      <c r="B142" s="27"/>
      <c r="C142" s="27"/>
      <c r="D142" s="27"/>
      <c r="E142" s="27"/>
      <c r="F142" s="82"/>
      <c r="G142" s="163" t="s">
        <v>524</v>
      </c>
      <c r="H142" s="82"/>
      <c r="I142" s="82"/>
      <c r="J142" s="82"/>
      <c r="K142" s="85"/>
      <c r="L142" s="85"/>
      <c r="M142" s="86"/>
    </row>
    <row r="143" spans="1:13" x14ac:dyDescent="0.2">
      <c r="A143" s="170" t="s">
        <v>531</v>
      </c>
      <c r="B143" s="27"/>
      <c r="C143" s="27"/>
      <c r="D143" s="27"/>
      <c r="E143" s="27"/>
      <c r="F143" s="28"/>
      <c r="G143" s="168" t="s">
        <v>525</v>
      </c>
      <c r="H143" s="82"/>
      <c r="I143" s="82"/>
      <c r="J143" s="82"/>
      <c r="K143" s="85"/>
      <c r="L143" s="85"/>
      <c r="M143" s="86"/>
    </row>
    <row r="144" spans="1:13" x14ac:dyDescent="0.2">
      <c r="A144" s="38"/>
      <c r="B144" s="36"/>
      <c r="C144" s="36"/>
      <c r="D144" s="36"/>
      <c r="E144" s="36"/>
      <c r="F144" s="36"/>
      <c r="G144" s="267" t="s">
        <v>526</v>
      </c>
      <c r="H144" s="36"/>
      <c r="I144" s="36"/>
      <c r="J144" s="36"/>
      <c r="K144" s="36"/>
      <c r="L144" s="36"/>
      <c r="M144" s="43"/>
    </row>
    <row r="145" spans="1:13" ht="18" x14ac:dyDescent="0.25">
      <c r="A145" s="34" t="s">
        <v>164</v>
      </c>
      <c r="B145" s="89"/>
      <c r="C145" s="27"/>
      <c r="D145" s="27"/>
      <c r="E145" s="27"/>
      <c r="F145" s="82"/>
      <c r="G145" s="82"/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529</v>
      </c>
      <c r="B146" s="27"/>
      <c r="C146" s="27"/>
      <c r="D146" s="27"/>
      <c r="E146" s="27"/>
      <c r="F146" s="82"/>
      <c r="G146" s="82"/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518</v>
      </c>
      <c r="B147" s="89"/>
      <c r="C147" s="27"/>
      <c r="D147" s="27"/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3" x14ac:dyDescent="0.2">
      <c r="A148" s="161" t="s">
        <v>527</v>
      </c>
      <c r="B148" s="35"/>
      <c r="C148" s="35"/>
      <c r="D148" s="27"/>
      <c r="E148" s="35"/>
      <c r="F148" s="92"/>
      <c r="G148" s="35" t="s">
        <v>168</v>
      </c>
      <c r="H148" s="36"/>
      <c r="I148" s="82"/>
      <c r="J148" s="82"/>
      <c r="K148" s="27"/>
      <c r="L148" s="27"/>
      <c r="M148" s="30"/>
    </row>
    <row r="149" spans="1:13" x14ac:dyDescent="0.2">
      <c r="A149" s="162" t="s">
        <v>528</v>
      </c>
      <c r="B149" s="27"/>
      <c r="C149" s="27"/>
      <c r="D149" s="27"/>
      <c r="E149" s="27"/>
      <c r="F149" s="92"/>
      <c r="G149" s="163" t="s">
        <v>515</v>
      </c>
      <c r="H149" s="36"/>
      <c r="I149" s="82"/>
      <c r="J149" s="82"/>
      <c r="K149" s="27"/>
      <c r="L149" s="27"/>
      <c r="M149" s="30"/>
    </row>
    <row r="150" spans="1:13" ht="18" x14ac:dyDescent="0.25">
      <c r="A150" s="161" t="s">
        <v>532</v>
      </c>
      <c r="B150" s="27"/>
      <c r="C150" s="27"/>
      <c r="D150" s="27"/>
      <c r="E150" s="27"/>
      <c r="F150" s="92"/>
      <c r="G150" s="163" t="s">
        <v>519</v>
      </c>
      <c r="H150" s="36"/>
      <c r="I150" s="29"/>
      <c r="J150" s="29"/>
      <c r="K150" s="27"/>
      <c r="L150" s="27"/>
      <c r="M150" s="30"/>
    </row>
    <row r="151" spans="1:13" ht="18" x14ac:dyDescent="0.25">
      <c r="A151" s="162" t="s">
        <v>533</v>
      </c>
      <c r="B151" s="36"/>
      <c r="C151" s="36"/>
      <c r="D151" s="36"/>
      <c r="E151" s="36"/>
      <c r="F151" s="28"/>
      <c r="G151" s="163" t="s">
        <v>538</v>
      </c>
      <c r="H151" s="36"/>
      <c r="I151" s="29"/>
      <c r="J151" s="29"/>
      <c r="K151" s="27"/>
      <c r="L151" s="27"/>
      <c r="M151" s="30"/>
    </row>
    <row r="152" spans="1:13" x14ac:dyDescent="0.2">
      <c r="A152" s="38"/>
      <c r="B152" s="27"/>
      <c r="C152" s="27"/>
      <c r="D152" s="27"/>
      <c r="E152" s="27"/>
      <c r="F152" s="28"/>
      <c r="G152" s="89"/>
      <c r="H152" s="36"/>
      <c r="I152" s="82"/>
      <c r="J152" s="82"/>
      <c r="K152" s="85"/>
      <c r="L152" s="85"/>
      <c r="M152" s="86"/>
    </row>
    <row r="153" spans="1:13" x14ac:dyDescent="0.2">
      <c r="A153" s="34" t="s">
        <v>87</v>
      </c>
      <c r="B153" s="27"/>
      <c r="C153" s="27"/>
      <c r="D153" s="27"/>
      <c r="E153" s="27"/>
      <c r="F153" s="28"/>
      <c r="G153" s="89"/>
      <c r="H153" s="36"/>
      <c r="I153" s="82"/>
      <c r="J153" s="82"/>
      <c r="K153" s="85"/>
      <c r="L153" s="85"/>
      <c r="M153" s="86"/>
    </row>
    <row r="154" spans="1:13" x14ac:dyDescent="0.2">
      <c r="A154" s="161" t="s">
        <v>498</v>
      </c>
      <c r="B154" s="27"/>
      <c r="C154" s="27"/>
      <c r="D154" s="27"/>
      <c r="E154" s="27"/>
      <c r="F154" s="28"/>
      <c r="G154" s="36"/>
      <c r="H154" s="36"/>
      <c r="I154" s="82"/>
      <c r="J154" s="82"/>
      <c r="K154" s="85"/>
      <c r="L154" s="85"/>
      <c r="M154" s="86"/>
    </row>
    <row r="155" spans="1:13" x14ac:dyDescent="0.2">
      <c r="A155" s="56"/>
      <c r="B155" s="27"/>
      <c r="C155" s="27"/>
      <c r="D155" s="27"/>
      <c r="E155" s="27"/>
      <c r="F155" s="28"/>
      <c r="G155" s="36"/>
      <c r="H155" s="36"/>
      <c r="I155" s="82"/>
      <c r="J155" s="82"/>
      <c r="K155" s="85"/>
      <c r="L155" s="85"/>
      <c r="M155" s="86"/>
    </row>
    <row r="156" spans="1:13" x14ac:dyDescent="0.2">
      <c r="A156" s="149" t="s">
        <v>173</v>
      </c>
      <c r="B156" s="27"/>
      <c r="C156" s="27"/>
      <c r="D156" s="36"/>
      <c r="E156" s="36"/>
      <c r="F156" s="36"/>
      <c r="G156" s="131" t="s">
        <v>170</v>
      </c>
      <c r="H156" s="36"/>
      <c r="I156" s="36"/>
      <c r="J156" s="36"/>
      <c r="K156" s="36"/>
      <c r="L156" s="36"/>
      <c r="M156" s="43"/>
    </row>
    <row r="157" spans="1:13" x14ac:dyDescent="0.2">
      <c r="A157" s="162" t="s">
        <v>520</v>
      </c>
      <c r="B157" s="27"/>
      <c r="C157" s="27"/>
      <c r="D157" s="27"/>
      <c r="E157" s="27"/>
      <c r="F157" s="28"/>
      <c r="G157" s="163" t="s">
        <v>530</v>
      </c>
      <c r="H157" s="36"/>
      <c r="I157" s="36"/>
      <c r="J157" s="36"/>
      <c r="K157" s="85"/>
      <c r="L157" s="85"/>
      <c r="M157" s="86"/>
    </row>
    <row r="158" spans="1:13" x14ac:dyDescent="0.2">
      <c r="A158" s="162" t="s">
        <v>517</v>
      </c>
      <c r="B158" s="35"/>
      <c r="C158" s="35"/>
      <c r="D158" s="27"/>
      <c r="E158" s="27"/>
      <c r="F158" s="28"/>
      <c r="G158" s="163" t="s">
        <v>534</v>
      </c>
      <c r="H158" s="36"/>
      <c r="I158" s="82"/>
      <c r="J158" s="82"/>
      <c r="K158" s="85"/>
      <c r="L158" s="85"/>
      <c r="M158" s="86"/>
    </row>
    <row r="159" spans="1:13" x14ac:dyDescent="0.2">
      <c r="A159" s="162" t="s">
        <v>523</v>
      </c>
      <c r="B159" s="27"/>
      <c r="C159" s="27"/>
      <c r="D159" s="27"/>
      <c r="E159" s="89"/>
      <c r="F159" s="27"/>
      <c r="G159" s="168" t="s">
        <v>535</v>
      </c>
      <c r="H159" s="36"/>
      <c r="I159" s="27"/>
      <c r="J159" s="82"/>
      <c r="K159" s="36"/>
      <c r="L159" s="36"/>
      <c r="M159" s="43"/>
    </row>
    <row r="160" spans="1:13" ht="18" x14ac:dyDescent="0.25">
      <c r="A160" s="161" t="s">
        <v>516</v>
      </c>
      <c r="B160" s="27"/>
      <c r="C160" s="27"/>
      <c r="D160" s="27"/>
      <c r="E160" s="27"/>
      <c r="F160" s="28"/>
      <c r="G160" s="163" t="s">
        <v>537</v>
      </c>
      <c r="H160" s="36"/>
      <c r="I160" s="29"/>
      <c r="J160" s="29"/>
      <c r="K160" s="27"/>
      <c r="L160" s="27"/>
      <c r="M160" s="30"/>
    </row>
    <row r="161" spans="1:13" ht="18" x14ac:dyDescent="0.25">
      <c r="A161" s="161" t="s">
        <v>521</v>
      </c>
      <c r="B161" s="27"/>
      <c r="C161" s="27"/>
      <c r="D161" s="27"/>
      <c r="E161" s="89"/>
      <c r="F161" s="82"/>
      <c r="G161" s="163" t="s">
        <v>540</v>
      </c>
      <c r="H161" s="83"/>
      <c r="I161" s="83"/>
      <c r="J161" s="82"/>
      <c r="K161" s="85"/>
      <c r="L161" s="89"/>
      <c r="M161" s="120"/>
    </row>
    <row r="162" spans="1:13" ht="18" x14ac:dyDescent="0.25">
      <c r="A162" s="161" t="s">
        <v>522</v>
      </c>
      <c r="B162" s="27"/>
      <c r="C162" s="27"/>
      <c r="D162" s="27"/>
      <c r="E162" s="27"/>
      <c r="F162" s="82"/>
      <c r="G162" s="36"/>
      <c r="H162" s="82"/>
      <c r="I162" s="83"/>
      <c r="J162" s="83"/>
      <c r="K162" s="84"/>
      <c r="L162" s="84"/>
      <c r="M162" s="30"/>
    </row>
    <row r="163" spans="1:13" ht="18" x14ac:dyDescent="0.25">
      <c r="A163" s="161" t="s">
        <v>539</v>
      </c>
      <c r="B163" s="27"/>
      <c r="C163" s="27"/>
      <c r="D163" s="27"/>
      <c r="E163" s="27"/>
      <c r="F163" s="82"/>
      <c r="G163" s="36"/>
      <c r="H163" s="83"/>
      <c r="I163" s="83"/>
      <c r="J163" s="83"/>
      <c r="K163" s="84"/>
      <c r="L163" s="84"/>
      <c r="M163" s="30"/>
    </row>
    <row r="164" spans="1:13" ht="18" x14ac:dyDescent="0.25">
      <c r="A164" s="56"/>
      <c r="B164" s="27"/>
      <c r="C164" s="27"/>
      <c r="D164" s="27"/>
      <c r="E164" s="89"/>
      <c r="F164" s="82"/>
      <c r="G164" s="36"/>
      <c r="H164" s="83"/>
      <c r="I164" s="82"/>
      <c r="J164" s="83"/>
      <c r="K164" s="84"/>
      <c r="L164" s="84"/>
      <c r="M164" s="30"/>
    </row>
    <row r="165" spans="1:13" ht="18" x14ac:dyDescent="0.25">
      <c r="A165" s="129"/>
      <c r="B165" s="31"/>
      <c r="C165" s="31"/>
      <c r="D165" s="31"/>
      <c r="E165" s="117"/>
      <c r="F165" s="91"/>
      <c r="G165" s="130"/>
      <c r="H165" s="130"/>
      <c r="I165" s="91"/>
      <c r="J165" s="130"/>
      <c r="K165" s="90"/>
      <c r="L165" s="90"/>
      <c r="M165" s="114"/>
    </row>
    <row r="166" spans="1:13" x14ac:dyDescent="0.2">
      <c r="A166" s="89"/>
      <c r="B166" s="28"/>
      <c r="C166" s="82"/>
      <c r="D166" s="82"/>
      <c r="E166" s="82"/>
      <c r="F166" s="82"/>
      <c r="G166" s="85"/>
      <c r="H166" s="85"/>
      <c r="I166" s="85"/>
      <c r="J166" s="85"/>
      <c r="K166" s="84"/>
      <c r="L166" s="84"/>
      <c r="M166" s="27"/>
    </row>
    <row r="169" spans="1:13" x14ac:dyDescent="0.2">
      <c r="I169" s="36"/>
      <c r="J169" s="36"/>
      <c r="K169" s="36"/>
      <c r="L169" s="36"/>
    </row>
    <row r="170" spans="1:13" x14ac:dyDescent="0.2">
      <c r="I170" s="36"/>
      <c r="J170" s="36"/>
      <c r="K170" s="36"/>
      <c r="L170" s="36"/>
    </row>
    <row r="180" spans="6:10" ht="18" x14ac:dyDescent="0.25">
      <c r="F180" s="14"/>
      <c r="G180" s="12"/>
      <c r="H180" s="15"/>
      <c r="I180" s="15"/>
      <c r="J180" s="12"/>
    </row>
    <row r="209" spans="1:13" ht="18" x14ac:dyDescent="0.25">
      <c r="A209" s="89"/>
      <c r="B209" s="27"/>
      <c r="C209" s="27"/>
      <c r="D209" s="27"/>
      <c r="E209" s="27"/>
      <c r="F209" s="82"/>
      <c r="G209" s="83"/>
      <c r="H209" s="83"/>
      <c r="I209" s="82"/>
      <c r="J209" s="83"/>
      <c r="K209" s="84"/>
      <c r="L209" s="84"/>
      <c r="M209" s="27"/>
    </row>
  </sheetData>
  <pageMargins left="0.75" right="0.75" top="1" bottom="1" header="0.5" footer="0.5"/>
  <pageSetup scale="99" fitToHeight="0" orientation="landscape" r:id="rId1"/>
  <headerFooter alignWithMargins="0"/>
  <rowBreaks count="1" manualBreakCount="1">
    <brk id="13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2"/>
  <sheetViews>
    <sheetView tabSelected="1" topLeftCell="A90" workbookViewId="0">
      <selection activeCell="C40" sqref="C40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bestFit="1" customWidth="1"/>
  </cols>
  <sheetData>
    <row r="1" spans="1:18" ht="18" x14ac:dyDescent="0.25">
      <c r="E1" s="182" t="s">
        <v>104</v>
      </c>
      <c r="F1" s="182"/>
      <c r="G1" s="183"/>
      <c r="H1" s="183"/>
      <c r="I1" s="183"/>
      <c r="J1" s="185"/>
    </row>
    <row r="2" spans="1:18" ht="18" x14ac:dyDescent="0.25">
      <c r="F2" s="184"/>
      <c r="G2" s="185" t="s">
        <v>246</v>
      </c>
      <c r="H2" s="183"/>
      <c r="I2" s="183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5" t="s">
        <v>14</v>
      </c>
    </row>
    <row r="7" spans="1:18" x14ac:dyDescent="0.2">
      <c r="A7" s="38"/>
      <c r="B7" s="36" t="s">
        <v>16</v>
      </c>
      <c r="C7" s="172">
        <f>SUM('July 2015'!C7+'Aug 2015'!C7+'Sept 2015'!C7+'Oct. 2015'!C7+'Nov 2015'!C7+'Dec. 2015'!C7+'Jan. 2016'!C7+'Feb. 2016'!C7+'March 2016'!C7+'April 2016'!C7+'May 2016'!C7+'June 2016'!C7)</f>
        <v>563</v>
      </c>
      <c r="D7" s="172">
        <f>SUM('July 2015'!D7+'Aug 2015'!D7+'Sept 2015'!D7+'Oct. 2015'!D7+'Nov 2015'!D7+'Dec. 2015'!D7+'Jan. 2016'!D7+'Feb. 2016'!D7+'March 2016'!D7+'April 2016'!D7+'May 2016'!D7+'June 2016'!D7)</f>
        <v>51</v>
      </c>
      <c r="E7" s="172">
        <f>SUM('July 2015'!E7+'Aug 2015'!E7+'Sept 2015'!E7+'Oct. 2015'!E7+'Nov 2015'!E7+'Dec. 2015'!E7+'Jan. 2016'!E7+'Feb. 2016'!E7+'March 2016'!E7+'April 2016'!E7+'May 2016'!E7+'June 2016'!E7)</f>
        <v>1089</v>
      </c>
      <c r="F7" s="172">
        <f>SUM('July 2015'!F7+'Aug 2015'!F7+'Sept 2015'!F7+'Oct. 2015'!F7+'Nov 2015'!F7+'Dec. 2015'!F7+'Jan. 2016'!F7+'Feb. 2016'!F7+'March 2016'!F7+'April 2016'!F7+'May 2016'!F7+'June 2016'!F7)</f>
        <v>3341</v>
      </c>
      <c r="G7" s="172">
        <f>SUM('July 2015'!G7+'Aug 2015'!G7+'Sept 2015'!G7+'Oct. 2015'!G7+'Nov 2015'!G7+'Dec. 2015'!G7+'Jan. 2016'!G7+'Feb. 2016'!G7+'March 2016'!G7+'April 2016'!G7+'May 2016'!G7+'June 2016'!G7)</f>
        <v>1075</v>
      </c>
      <c r="H7" s="172">
        <f>SUM('July 2015'!H7+'Aug 2015'!H7+'Sept 2015'!H7+'Oct. 2015'!H7+'Nov 2015'!H7+'Dec. 2015'!H7+'Jan. 2016'!H7+'Feb. 2016'!H7+'March 2016'!H7+'April 2016'!H7+'May 2016'!H7+'June 2016'!H7)</f>
        <v>24</v>
      </c>
      <c r="I7" s="172">
        <f>SUM('July 2015'!I7+'Aug 2015'!I7+'Sept 2015'!I7+'Oct. 2015'!I7+'Nov 2015'!I7+'Dec. 2015'!I7+'Jan. 2016'!I7+'Feb. 2016'!I7+'March 2016'!I7+'April 2016'!I7+'May 2016'!I7+'June 2016'!I7)</f>
        <v>18</v>
      </c>
      <c r="J7" s="172">
        <f>SUM('July 2015'!J7+'Aug 2015'!J7+'Sept 2015'!J7+'Oct. 2015'!J7+'Nov 2015'!J7+'Dec. 2015'!J7+'Jan. 2016'!J7+'Feb. 2016'!J7+'March 2016'!J7+'April 2016'!J7+'May 2016'!J7+'June 2016'!J7)</f>
        <v>1783</v>
      </c>
      <c r="K7" s="172">
        <f>SUM('July 2015'!K7+'Aug 2015'!K7+'Sept 2015'!K7+'Oct. 2015'!K7+'Nov 2015'!K7+'Dec. 2015'!K7+'Jan. 2016'!K7+'Feb. 2016'!K7+'March 2016'!K7+'April 2016'!K7+'May 2016'!K7+'June 2016'!K7)</f>
        <v>266</v>
      </c>
      <c r="L7" s="265" t="s">
        <v>181</v>
      </c>
      <c r="M7" s="61">
        <f>SUM(C7:K7)</f>
        <v>8210</v>
      </c>
    </row>
    <row r="8" spans="1:18" x14ac:dyDescent="0.2">
      <c r="A8" s="38"/>
      <c r="B8" s="57" t="s">
        <v>156</v>
      </c>
      <c r="C8" s="172">
        <f>SUM('July 2015'!C8+'Aug 2015'!C8+'Sept 2015'!C8+'Oct. 2015'!C8+'Nov 2015'!C8+'Dec. 2015'!C8+'Jan. 2016'!C8+'Feb. 2016'!C8+'March 2016'!C8+'April 2016'!C8+'May 2016'!C8+'June 2016'!C8)</f>
        <v>161</v>
      </c>
      <c r="D8" s="172">
        <f>SUM('July 2015'!D8+'Aug 2015'!D8+'Sept 2015'!D8+'Oct. 2015'!D8+'Nov 2015'!D8+'Dec. 2015'!D8+'Jan. 2016'!D8+'Feb. 2016'!D8+'March 2016'!D8+'April 2016'!D8+'May 2016'!D8+'June 2016'!D8)</f>
        <v>10</v>
      </c>
      <c r="E8" s="172">
        <f>SUM('July 2015'!E8+'Aug 2015'!E8+'Sept 2015'!E8+'Oct. 2015'!E8+'Nov 2015'!E8+'Dec. 2015'!E8+'Jan. 2016'!E8+'Feb. 2016'!E8+'March 2016'!E8+'April 2016'!E8+'May 2016'!E8+'June 2016'!E8)</f>
        <v>174</v>
      </c>
      <c r="F8" s="172">
        <f>SUM('July 2015'!F8+'Aug 2015'!F8+'Sept 2015'!F8+'Oct. 2015'!F8+'Nov 2015'!F8+'Dec. 2015'!F8+'Jan. 2016'!F8+'Feb. 2016'!F8+'March 2016'!F8+'April 2016'!F8+'May 2016'!F8+'June 2016'!F8)</f>
        <v>487</v>
      </c>
      <c r="G8" s="172">
        <f>SUM('July 2015'!G8+'Aug 2015'!G8+'Sept 2015'!G8+'Oct. 2015'!G8+'Nov 2015'!G8+'Dec. 2015'!G8+'Jan. 2016'!G8+'Feb. 2016'!G8+'March 2016'!G8+'April 2016'!G8+'May 2016'!G8+'June 2016'!G8)</f>
        <v>175</v>
      </c>
      <c r="H8" s="172">
        <f>SUM('July 2015'!H8+'Aug 2015'!H8+'Sept 2015'!H8+'Oct. 2015'!H8+'Nov 2015'!H8+'Dec. 2015'!H8+'Jan. 2016'!H8+'Feb. 2016'!H8+'March 2016'!H8+'April 2016'!H8+'May 2016'!H8+'June 2016'!H8)</f>
        <v>12</v>
      </c>
      <c r="I8" s="172">
        <f>SUM('July 2015'!I8+'Aug 2015'!I8+'Sept 2015'!I8+'Oct. 2015'!I8+'Nov 2015'!I8+'Dec. 2015'!I8+'Jan. 2016'!I8+'Feb. 2016'!I8+'March 2016'!I8+'April 2016'!I8+'May 2016'!I8+'June 2016'!I8)</f>
        <v>2</v>
      </c>
      <c r="J8" s="172">
        <f>SUM('July 2015'!J8+'Aug 2015'!J8+'Sept 2015'!J8+'Oct. 2015'!J8+'Nov 2015'!J8+'Dec. 2015'!J8+'Jan. 2016'!J8+'Feb. 2016'!J8+'March 2016'!J8+'April 2016'!J8+'May 2016'!J8+'June 2016'!J8)</f>
        <v>483</v>
      </c>
      <c r="K8" s="172">
        <f>SUM('July 2015'!K8+'Aug 2015'!K8+'Sept 2015'!K8+'Oct. 2015'!K8+'Nov 2015'!K8+'Dec. 2015'!K8+'Jan. 2016'!K8+'Feb. 2016'!K8+'March 2016'!K8+'April 2016'!K8+'May 2016'!K8+'June 2016'!K8)</f>
        <v>83</v>
      </c>
      <c r="L8" s="172">
        <f>SUM('July 2015'!L8+'Aug 2015'!L8+'Sept 2015'!L8+'Oct. 2015'!L8+'Nov 2015'!L8+'Dec. 2015'!L8+'Jan. 2016'!L8+'Feb. 2016'!L8+'March 2016'!L8+'April 2016'!L8+'May 2016'!L8+'June 2016'!L8)</f>
        <v>116</v>
      </c>
      <c r="M8" s="61">
        <f t="shared" ref="M8:M9" si="0">SUM(C8:L8)</f>
        <v>1703</v>
      </c>
    </row>
    <row r="9" spans="1:18" ht="13.5" thickBot="1" x14ac:dyDescent="0.25">
      <c r="A9" s="38"/>
      <c r="B9" s="57" t="s">
        <v>157</v>
      </c>
      <c r="C9" s="266">
        <f>SUM('July 2015'!C9+'Aug 2015'!C9+'Sept 2015'!C9+'Oct. 2015'!C9+'Nov 2015'!C9+'Dec. 2015'!C9+'Jan. 2016'!C9+'Feb. 2016'!C9+'March 2016'!C9+'April 2016'!C9+'May 2016'!C9+'June 2016'!C9)</f>
        <v>220</v>
      </c>
      <c r="D9" s="266">
        <f>SUM('July 2015'!D9+'Aug 2015'!D9+'Sept 2015'!D9+'Oct. 2015'!D9+'Nov 2015'!D9+'Dec. 2015'!D9+'Jan. 2016'!D9+'Feb. 2016'!D9+'March 2016'!D9+'April 2016'!D9+'May 2016'!D9+'June 2016'!D9)</f>
        <v>0</v>
      </c>
      <c r="E9" s="266">
        <f>SUM('July 2015'!E9+'Aug 2015'!E9+'Sept 2015'!E9+'Oct. 2015'!E9+'Nov 2015'!E9+'Dec. 2015'!E9+'Jan. 2016'!E9+'Feb. 2016'!E9+'March 2016'!E9+'April 2016'!E9+'May 2016'!E9+'June 2016'!E9)</f>
        <v>73</v>
      </c>
      <c r="F9" s="266">
        <f>SUM('July 2015'!F9+'Aug 2015'!F9+'Sept 2015'!F9+'Oct. 2015'!F9+'Nov 2015'!F9+'Dec. 2015'!F9+'Jan. 2016'!F9+'Feb. 2016'!F9+'March 2016'!F9+'April 2016'!F9+'May 2016'!F9+'June 2016'!F9)</f>
        <v>776</v>
      </c>
      <c r="G9" s="266">
        <f>SUM('July 2015'!G9+'Aug 2015'!G9+'Sept 2015'!G9+'Oct. 2015'!G9+'Nov 2015'!G9+'Dec. 2015'!G9+'Jan. 2016'!G9+'Feb. 2016'!G9+'March 2016'!G9+'April 2016'!G9+'May 2016'!G9+'June 2016'!G9)</f>
        <v>73</v>
      </c>
      <c r="H9" s="266">
        <f>SUM('July 2015'!H9+'Aug 2015'!H9+'Sept 2015'!H9+'Oct. 2015'!H9+'Nov 2015'!H9+'Dec. 2015'!H9+'Jan. 2016'!H9+'Feb. 2016'!H9+'March 2016'!H9+'April 2016'!H9+'May 2016'!H9+'June 2016'!H9)</f>
        <v>0</v>
      </c>
      <c r="I9" s="266">
        <f>SUM('July 2015'!I9+'Aug 2015'!I9+'Sept 2015'!I9+'Oct. 2015'!I9+'Nov 2015'!I9+'Dec. 2015'!I9+'Jan. 2016'!I9+'Feb. 2016'!I9+'March 2016'!I9+'April 2016'!I9+'May 2016'!I9+'June 2016'!I9)</f>
        <v>0</v>
      </c>
      <c r="J9" s="266">
        <f>SUM('July 2015'!J9+'Aug 2015'!J9+'Sept 2015'!J9+'Oct. 2015'!J9+'Nov 2015'!J9+'Dec. 2015'!J9+'Jan. 2016'!J9+'Feb. 2016'!J9+'March 2016'!J9+'April 2016'!J9+'May 2016'!J9+'June 2016'!J9)</f>
        <v>324</v>
      </c>
      <c r="K9" s="266">
        <f>SUM('July 2015'!K9+'Aug 2015'!K9+'Sept 2015'!K9+'Oct. 2015'!K9+'Nov 2015'!K9+'Dec. 2015'!K9+'Jan. 2016'!K9+'Feb. 2016'!K9+'March 2016'!K9+'April 2016'!K9+'May 2016'!K9+'June 2016'!K9)</f>
        <v>16</v>
      </c>
      <c r="L9" s="266" t="s">
        <v>181</v>
      </c>
      <c r="M9" s="150">
        <f t="shared" si="0"/>
        <v>1482</v>
      </c>
    </row>
    <row r="10" spans="1:18" ht="13.5" thickTop="1" x14ac:dyDescent="0.2">
      <c r="A10" s="48"/>
      <c r="B10" s="65" t="s">
        <v>14</v>
      </c>
      <c r="C10" s="45">
        <f>SUM(C7:C9)</f>
        <v>944</v>
      </c>
      <c r="D10" s="45">
        <f t="shared" ref="D10:L10" si="1">SUM(D7:D9)</f>
        <v>61</v>
      </c>
      <c r="E10" s="45">
        <f t="shared" si="1"/>
        <v>1336</v>
      </c>
      <c r="F10" s="45">
        <f t="shared" si="1"/>
        <v>4604</v>
      </c>
      <c r="G10" s="45">
        <f t="shared" si="1"/>
        <v>1323</v>
      </c>
      <c r="H10" s="45">
        <f t="shared" si="1"/>
        <v>36</v>
      </c>
      <c r="I10" s="45">
        <f t="shared" si="1"/>
        <v>20</v>
      </c>
      <c r="J10" s="45">
        <f t="shared" si="1"/>
        <v>2590</v>
      </c>
      <c r="K10" s="45">
        <f t="shared" si="1"/>
        <v>365</v>
      </c>
      <c r="L10" s="45">
        <f t="shared" si="1"/>
        <v>116</v>
      </c>
      <c r="M10" s="95">
        <f>SUM(C10:L10)</f>
        <v>11395</v>
      </c>
    </row>
    <row r="11" spans="1:18" x14ac:dyDescent="0.2">
      <c r="B11" s="1"/>
      <c r="D11" s="2"/>
    </row>
    <row r="12" spans="1:18" x14ac:dyDescent="0.2">
      <c r="A12" s="181" t="s">
        <v>52</v>
      </c>
      <c r="B12" s="188"/>
      <c r="C12" s="157">
        <v>3294</v>
      </c>
      <c r="D12" s="158">
        <v>82</v>
      </c>
      <c r="E12" s="157">
        <v>14492</v>
      </c>
      <c r="F12" s="158">
        <v>12031</v>
      </c>
      <c r="G12" s="158">
        <v>9422</v>
      </c>
      <c r="H12" s="158">
        <v>104</v>
      </c>
      <c r="I12" s="158">
        <v>60</v>
      </c>
      <c r="J12" s="158">
        <v>11242</v>
      </c>
      <c r="K12" s="158">
        <v>1905</v>
      </c>
      <c r="L12" s="158"/>
      <c r="M12" s="159">
        <f>SUM(C12:K12)</f>
        <v>52632</v>
      </c>
      <c r="N12" s="27"/>
    </row>
    <row r="13" spans="1:18" x14ac:dyDescent="0.2">
      <c r="A13" s="57" t="s">
        <v>122</v>
      </c>
      <c r="B13" s="60"/>
      <c r="C13" s="57"/>
      <c r="D13" s="36"/>
      <c r="E13" s="36"/>
      <c r="F13" s="128"/>
      <c r="G13" s="128"/>
      <c r="H13" s="128"/>
      <c r="I13" s="128"/>
      <c r="J13" s="128"/>
      <c r="K13" s="128"/>
      <c r="L13" s="128"/>
      <c r="R13" s="94"/>
    </row>
    <row r="14" spans="1:18" x14ac:dyDescent="0.2">
      <c r="A14" s="174" t="s">
        <v>242</v>
      </c>
    </row>
    <row r="16" spans="1:18" x14ac:dyDescent="0.2">
      <c r="A16" s="181" t="s">
        <v>55</v>
      </c>
      <c r="B16" s="181"/>
      <c r="C16" s="188"/>
      <c r="D16" s="205"/>
      <c r="E16" s="173" t="s">
        <v>243</v>
      </c>
      <c r="F16" s="173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58" t="s">
        <v>8</v>
      </c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75</v>
      </c>
      <c r="D19" s="36">
        <v>1</v>
      </c>
      <c r="E19" s="36">
        <v>139</v>
      </c>
      <c r="F19" s="4">
        <v>203</v>
      </c>
      <c r="G19" s="4">
        <v>115</v>
      </c>
      <c r="H19" s="4">
        <v>1</v>
      </c>
      <c r="I19" s="4">
        <v>5</v>
      </c>
      <c r="J19" s="4">
        <v>77</v>
      </c>
      <c r="K19" s="4">
        <v>48</v>
      </c>
      <c r="L19" s="43">
        <f>SUM(C19:K19)</f>
        <v>664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18</v>
      </c>
      <c r="F21" s="4">
        <v>18</v>
      </c>
      <c r="G21" s="4">
        <v>19</v>
      </c>
      <c r="H21" s="4">
        <v>1</v>
      </c>
      <c r="I21" s="4">
        <v>2</v>
      </c>
      <c r="J21" s="4">
        <v>30</v>
      </c>
      <c r="K21" s="4">
        <v>0</v>
      </c>
      <c r="L21" s="61">
        <f>SUM(C21:K21)</f>
        <v>89</v>
      </c>
    </row>
    <row r="22" spans="1:13" x14ac:dyDescent="0.2">
      <c r="A22" s="38"/>
      <c r="B22" s="36" t="s">
        <v>10</v>
      </c>
      <c r="C22" s="4">
        <v>5</v>
      </c>
      <c r="D22" s="4">
        <v>3</v>
      </c>
      <c r="E22" s="4">
        <v>12</v>
      </c>
      <c r="F22" s="4">
        <v>60</v>
      </c>
      <c r="G22" s="4">
        <v>19</v>
      </c>
      <c r="H22" s="4">
        <v>2</v>
      </c>
      <c r="I22" s="4">
        <v>0</v>
      </c>
      <c r="J22" s="4">
        <v>29</v>
      </c>
      <c r="K22" s="4">
        <v>5</v>
      </c>
      <c r="L22" s="61">
        <f>SUM(C22:K22)</f>
        <v>135</v>
      </c>
    </row>
    <row r="23" spans="1:13" ht="13.5" thickBot="1" x14ac:dyDescent="0.25">
      <c r="A23" s="38"/>
      <c r="B23" s="36" t="s">
        <v>9</v>
      </c>
      <c r="C23" s="3">
        <v>144</v>
      </c>
      <c r="D23" s="3">
        <v>78</v>
      </c>
      <c r="E23" s="3">
        <v>377</v>
      </c>
      <c r="F23" s="3">
        <v>434</v>
      </c>
      <c r="G23" s="3">
        <v>293</v>
      </c>
      <c r="H23" s="3">
        <v>16</v>
      </c>
      <c r="I23" s="3">
        <v>15</v>
      </c>
      <c r="J23" s="3">
        <v>704</v>
      </c>
      <c r="K23" s="3">
        <v>195</v>
      </c>
      <c r="L23" s="59">
        <f>SUM(C23:K23)</f>
        <v>2256</v>
      </c>
    </row>
    <row r="24" spans="1:13" ht="13.5" thickTop="1" x14ac:dyDescent="0.2">
      <c r="A24" s="38"/>
      <c r="B24" s="60" t="s">
        <v>14</v>
      </c>
      <c r="C24" s="36">
        <f>SUM(C19:C23)</f>
        <v>226</v>
      </c>
      <c r="D24" s="36">
        <f t="shared" ref="D24:L24" si="2">SUM(D19:D23)</f>
        <v>82</v>
      </c>
      <c r="E24" s="36">
        <f t="shared" si="2"/>
        <v>547</v>
      </c>
      <c r="F24" s="36">
        <f t="shared" si="2"/>
        <v>715</v>
      </c>
      <c r="G24" s="36">
        <f t="shared" si="2"/>
        <v>447</v>
      </c>
      <c r="H24" s="36">
        <f t="shared" si="2"/>
        <v>20</v>
      </c>
      <c r="I24" s="36">
        <f t="shared" si="2"/>
        <v>22</v>
      </c>
      <c r="J24" s="36">
        <f t="shared" si="2"/>
        <v>840</v>
      </c>
      <c r="K24" s="36">
        <f t="shared" si="2"/>
        <v>252</v>
      </c>
      <c r="L24" s="36">
        <f t="shared" si="2"/>
        <v>3151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s="2" t="s">
        <v>138</v>
      </c>
      <c r="M26" s="209" t="s">
        <v>14</v>
      </c>
    </row>
    <row r="27" spans="1:13" x14ac:dyDescent="0.2">
      <c r="A27" s="63" t="s">
        <v>35</v>
      </c>
      <c r="B27" s="64"/>
      <c r="C27" s="87">
        <f>SUM('July 2015'!C27+'Aug 2015'!C27+'Sept 2015'!C27+'Oct. 2015'!C27+'Nov 2015'!C27+'Dec. 2015'!C27+'Jan. 2016'!C27+'Feb. 2016'!C27+'March 2016'!C27+'April 2016'!C27+'May 2016'!C27+'June 2016'!C27)</f>
        <v>342.24</v>
      </c>
      <c r="D27" s="87">
        <f>SUM('July 2015'!D27+'Aug 2015'!D27+'Sept 2015'!D27+'Oct. 2015'!D27+'Nov 2015'!D27+'Dec. 2015'!D27+'Jan. 2016'!D27+'Feb. 2016'!D27+'March 2016'!D27+'April 2016'!D27+'May 2016'!D27+'June 2016'!D27)</f>
        <v>2</v>
      </c>
      <c r="E27" s="87">
        <f>SUM('July 2015'!E27+'Aug 2015'!E27+'Sept 2015'!E27+'Oct. 2015'!E27+'Nov 2015'!E27+'Dec. 2015'!E27+'Jan. 2016'!E27+'Feb. 2016'!E27+'March 2016'!E27+'April 2016'!E27+'May 2016'!E27+'June 2016'!E27)</f>
        <v>385.9</v>
      </c>
      <c r="F27" s="87">
        <f>SUM('July 2015'!F27+'Aug 2015'!F27+'Sept 2015'!F27+'Oct. 2015'!F27+'Nov 2015'!F27+'Dec. 2015'!F27+'Jan. 2016'!F27+'Feb. 2016'!F27+'March 2016'!F27+'April 2016'!F27+'May 2016'!F27+'June 2016'!F27)</f>
        <v>486</v>
      </c>
      <c r="G27" s="87">
        <f>SUM('July 2015'!G27+'Aug 2015'!G27+'Sept 2015'!G27+'Oct. 2015'!G27+'Nov 2015'!G27+'Dec. 2015'!G27+'Jan. 2016'!G27+'Feb. 2016'!G27+'March 2016'!G27+'April 2016'!G27+'May 2016'!G27+'June 2016'!G27)</f>
        <v>218.54000000000002</v>
      </c>
      <c r="H27" s="87">
        <f>SUM('July 2015'!H27+'Aug 2015'!H27+'Sept 2015'!H27+'Oct. 2015'!H27+'Nov 2015'!H27+'Dec. 2015'!H27+'Jan. 2016'!H27+'Feb. 2016'!H27+'March 2016'!H27+'April 2016'!H27+'May 2016'!H27+'June 2016'!H27)</f>
        <v>10.25</v>
      </c>
      <c r="I27" s="87">
        <f>SUM('July 2015'!I27+'Aug 2015'!I27+'Sept 2015'!I27+'Oct. 2015'!I27+'Nov 2015'!I27+'Dec. 2015'!I27+'Jan. 2016'!I27+'Feb. 2016'!I27+'March 2016'!I27+'April 2016'!I27+'May 2016'!I27+'June 2016'!I27)</f>
        <v>40</v>
      </c>
      <c r="J27" s="87">
        <f>SUM('July 2015'!J27+'Aug 2015'!J27+'Sept 2015'!J27+'Oct. 2015'!J27+'Nov 2015'!J27+'Dec. 2015'!J27+'Jan. 2016'!J27+'Feb. 2016'!J27+'March 2016'!J27+'April 2016'!J27+'May 2016'!J27+'June 2016'!J27)</f>
        <v>728.4</v>
      </c>
      <c r="K27" s="87">
        <f>SUM('July 2015'!K27+'Aug 2015'!K27+'Sept 2015'!K27+'Oct. 2015'!K27+'Nov 2015'!K27+'Dec. 2015'!K27+'Jan. 2016'!K27+'Feb. 2016'!K27+'March 2016'!K27+'April 2016'!K27+'May 2016'!K27+'June 2016'!K27)</f>
        <v>204.25</v>
      </c>
      <c r="L27" s="87">
        <f>SUM('July 2015'!L27+'Aug 2015'!L27+'Sept 2015'!L27+'Oct. 2015'!L27+'Nov 2015'!M27+'Dec. 2015'!L27+'Jan. 2016'!L27+'Feb. 2016'!L27+'March 2016'!L27+'April 2016'!L27+'May 2016'!L27+'June 2016'!L27)</f>
        <v>267.21000000000004</v>
      </c>
      <c r="M27" s="87">
        <f>SUM(C27:L27)</f>
        <v>2684.79</v>
      </c>
    </row>
    <row r="29" spans="1:13" x14ac:dyDescent="0.2">
      <c r="A29" s="186" t="s">
        <v>66</v>
      </c>
      <c r="B29" s="186"/>
      <c r="C29" s="187"/>
      <c r="D29" s="195"/>
    </row>
    <row r="30" spans="1:13" x14ac:dyDescent="0.2">
      <c r="B30" s="47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73" t="s">
        <v>14</v>
      </c>
    </row>
    <row r="31" spans="1:13" x14ac:dyDescent="0.2">
      <c r="B31" s="71" t="s">
        <v>17</v>
      </c>
      <c r="C31" s="136">
        <f>SUM('July 2015'!C31+'Aug 2015'!C31+'Sept 2015'!C31+'Oct. 2015'!C31+'Nov 2015'!C31+'Dec. 2015'!C31+'Jan. 2016'!C31+'Feb. 2016'!C31+'March 2016'!C31+'April 2016'!C31+'May 2016'!C31+'June 2016'!C31)</f>
        <v>979</v>
      </c>
      <c r="D31" s="136">
        <f>SUM('July 2015'!D31+'Aug 2015'!D31+'Sept 2015'!D31+'Oct. 2015'!D31+'Nov 2015'!D31+'Dec. 2015'!D31+'Jan. 2016'!D31+'Feb. 2016'!D31+'March 2016'!D31+'April 2016'!D31+'May 2016'!D31+'June 2016'!D31)</f>
        <v>365</v>
      </c>
      <c r="E31" s="136">
        <f>SUM('July 2015'!E31+'Aug 2015'!E31+'Sept 2015'!E31+'Oct. 2015'!E31+'Nov 2015'!E31+'Dec. 2015'!E31+'Jan. 2016'!E31+'Feb. 2016'!E31+'March 2016'!E31+'April 2016'!E31+'May 2016'!E31+'June 2016'!E31)</f>
        <v>1396</v>
      </c>
      <c r="F31" s="136">
        <f>SUM('July 2015'!F31+'Aug 2015'!F31+'Sept 2015'!F31+'Oct. 2015'!F31+'Nov 2015'!F31+'Dec. 2015'!F31+'Jan. 2016'!F31+'Feb. 2016'!F31+'March 2016'!F31+'April 2016'!F31+'May 2016'!F31+'June 2016'!F31)</f>
        <v>2166</v>
      </c>
      <c r="G31" s="136">
        <f>SUM('July 2015'!G31+'Aug 2015'!G31+'Sept 2015'!G31+'Oct. 2015'!G31+'Nov 2015'!G31+'Dec. 2015'!G31+'Jan. 2016'!G31+'Feb. 2016'!G31+'March 2016'!G31+'April 2016'!G31+'May 2016'!G31+'June 2016'!G31)</f>
        <v>2149</v>
      </c>
      <c r="H31" s="136">
        <f>SUM('July 2015'!H31+'Aug 2015'!H31+'Sept 2015'!H31+'Oct. 2015'!H31+'Nov 2015'!H31+'Dec. 2015'!H31+'Jan. 2016'!H31+'Feb. 2016'!H31+'March 2016'!H31+'April 2016'!H31+'May 2016'!H31+'June 2016'!H31)</f>
        <v>2754</v>
      </c>
      <c r="I31" s="136">
        <f>SUM('July 2015'!I31+'Aug 2015'!I31+'Sept 2015'!I31+'Oct. 2015'!I31+'Nov 2015'!I31+'Dec. 2015'!I31+'Jan. 2016'!I31+'Feb. 2016'!I31+'March 2016'!I31+'April 2016'!I31+'May 2016'!I31+'June 2016'!I31)</f>
        <v>33</v>
      </c>
      <c r="J31" s="136">
        <f>SUM('July 2015'!J31+'Aug 2015'!J31+'Sept 2015'!J31+'Oct. 2015'!J31+'Nov 2015'!J31+'Dec. 2015'!J31+'Jan. 2016'!J31+'Feb. 2016'!J31+'March 2016'!J31+'April 2016'!J31+'May 2016'!J31+'June 2016'!J31)</f>
        <v>2675</v>
      </c>
      <c r="K31" s="136">
        <f>SUM('July 2015'!K31+'Aug 2015'!K31+'Sept 2015'!K31+'Oct. 2015'!K31+'Nov 2015'!K31+'Dec. 2015'!K31+'Jan. 2016'!K31+'Feb. 2016'!K31+'March 2016'!K31+'April 2016'!K31+'May 2016'!K31+'June 2016'!K31)</f>
        <v>876</v>
      </c>
      <c r="L31" s="61">
        <f t="shared" ref="L31:L36" si="3">SUM(C31:K31)</f>
        <v>13393</v>
      </c>
    </row>
    <row r="32" spans="1:13" x14ac:dyDescent="0.2">
      <c r="B32" s="71" t="s">
        <v>18</v>
      </c>
      <c r="C32" s="136">
        <f>SUM('July 2015'!C32+'Aug 2015'!C32+'Sept 2015'!C32+'Oct. 2015'!C32+'Nov 2015'!C32+'Dec. 2015'!C32+'Jan. 2016'!C32+'Feb. 2016'!C32+'March 2016'!C32+'April 2016'!C32+'May 2016'!C32+'June 2016'!C32)</f>
        <v>188</v>
      </c>
      <c r="D32" s="136">
        <f>SUM('July 2015'!D32+'Aug 2015'!D32+'Sept 2015'!D32+'Oct. 2015'!D32+'Nov 2015'!D32+'Dec. 2015'!D32+'Jan. 2016'!D32+'Feb. 2016'!D32+'March 2016'!D32+'April 2016'!D32+'May 2016'!D32+'June 2016'!D32)</f>
        <v>83</v>
      </c>
      <c r="E32" s="136">
        <f>SUM('July 2015'!E32+'Aug 2015'!E32+'Sept 2015'!E32+'Oct. 2015'!E32+'Nov 2015'!E32+'Dec. 2015'!E32+'Jan. 2016'!E32+'Feb. 2016'!E32+'March 2016'!E32+'April 2016'!E32+'May 2016'!E32+'June 2016'!E32)</f>
        <v>383</v>
      </c>
      <c r="F32" s="136">
        <f>SUM('July 2015'!F32+'Aug 2015'!F32+'Sept 2015'!F32+'Oct. 2015'!F32+'Nov 2015'!F32+'Dec. 2015'!F32+'Jan. 2016'!F32+'Feb. 2016'!F32+'March 2016'!F32+'April 2016'!F32+'May 2016'!F32+'June 2016'!F32)</f>
        <v>740</v>
      </c>
      <c r="G32" s="136">
        <f>SUM('July 2015'!G32+'Aug 2015'!G32+'Sept 2015'!G32+'Oct. 2015'!G32+'Nov 2015'!G32+'Dec. 2015'!G32+'Jan. 2016'!G32+'Feb. 2016'!G32+'March 2016'!G32+'April 2016'!G32+'May 2016'!G32+'June 2016'!G32)</f>
        <v>549</v>
      </c>
      <c r="H32" s="136">
        <f>SUM('July 2015'!H32+'Aug 2015'!H32+'Sept 2015'!H32+'Oct. 2015'!H32+'Nov 2015'!H32+'Dec. 2015'!H32+'Jan. 2016'!H32+'Feb. 2016'!H32+'March 2016'!H32+'April 2016'!H32+'May 2016'!H32+'June 2016'!H32)</f>
        <v>11</v>
      </c>
      <c r="I32" s="136">
        <f>SUM('July 2015'!I32+'Aug 2015'!I32+'Sept 2015'!I32+'Oct. 2015'!I32+'Nov 2015'!I32+'Dec. 2015'!I32+'Jan. 2016'!I32+'Feb. 2016'!I32+'March 2016'!I32+'April 2016'!I32+'May 2016'!I32+'June 2016'!I32)</f>
        <v>8</v>
      </c>
      <c r="J32" s="136">
        <f>SUM('July 2015'!J32+'Aug 2015'!J32+'Sept 2015'!J32+'Oct. 2015'!J32+'Nov 2015'!J32+'Dec. 2015'!J32+'Jan. 2016'!J32+'Feb. 2016'!J32+'March 2016'!J32+'April 2016'!J32+'May 2016'!J32+'June 2016'!J32)</f>
        <v>370</v>
      </c>
      <c r="K32" s="136">
        <f>SUM('July 2015'!K32+'Aug 2015'!K32+'Sept 2015'!K32+'Oct. 2015'!K32+'Nov 2015'!K32+'Dec. 2015'!K32+'Jan. 2016'!K32+'Feb. 2016'!K32+'March 2016'!K32+'April 2016'!K32+'May 2016'!K32+'June 2016'!K32)</f>
        <v>400</v>
      </c>
      <c r="L32" s="61">
        <f t="shared" si="3"/>
        <v>2732</v>
      </c>
    </row>
    <row r="33" spans="1:12" x14ac:dyDescent="0.2">
      <c r="B33" s="71" t="s">
        <v>20</v>
      </c>
      <c r="C33" s="136">
        <f>SUM('July 2015'!C33+'Aug 2015'!C33+'Sept 2015'!C33+'Oct. 2015'!C33+'Nov 2015'!C33+'Dec. 2015'!C33+'Jan. 2016'!C33+'Feb. 2016'!C33+'March 2016'!C33+'April 2016'!C33+'May 2016'!C33+'June 2016'!C33)</f>
        <v>2054</v>
      </c>
      <c r="D33" s="136">
        <f>SUM('July 2015'!D33+'Aug 2015'!D33+'Sept 2015'!D33+'Oct. 2015'!D33+'Nov 2015'!D33+'Dec. 2015'!D33+'Jan. 2016'!D33+'Feb. 2016'!D33+'March 2016'!D33+'April 2016'!D33+'May 2016'!D33+'June 2016'!D33)</f>
        <v>1722</v>
      </c>
      <c r="E33" s="136">
        <f>SUM('July 2015'!E33+'Aug 2015'!E33+'Sept 2015'!E33+'Oct. 2015'!E33+'Nov 2015'!E33+'Dec. 2015'!E33+'Jan. 2016'!E33+'Feb. 2016'!E33+'March 2016'!E33+'April 2016'!E33+'May 2016'!E33+'June 2016'!E33)</f>
        <v>6427</v>
      </c>
      <c r="F33" s="136">
        <f>SUM('July 2015'!F33+'Aug 2015'!F33+'Sept 2015'!F33+'Oct. 2015'!F33+'Nov 2015'!F33+'Dec. 2015'!F33+'Jan. 2016'!F33+'Feb. 2016'!F33+'March 2016'!F33+'April 2016'!F33+'May 2016'!F33+'June 2016'!F33)</f>
        <v>4130</v>
      </c>
      <c r="G33" s="136">
        <f>SUM('July 2015'!G33+'Aug 2015'!G33+'Sept 2015'!G33+'Oct. 2015'!G33+'Nov 2015'!G33+'Dec. 2015'!G33+'Jan. 2016'!G33+'Feb. 2016'!G33+'March 2016'!G33+'April 2016'!G33+'May 2016'!G33+'June 2016'!G33)</f>
        <v>4130</v>
      </c>
      <c r="H33" s="136">
        <f>SUM('July 2015'!H33+'Aug 2015'!H33+'Sept 2015'!H33+'Oct. 2015'!H33+'Nov 2015'!H33+'Dec. 2015'!H33+'Jan. 2016'!H33+'Feb. 2016'!H33+'March 2016'!H33+'April 2016'!H33+'May 2016'!H33+'June 2016'!H33)</f>
        <v>69</v>
      </c>
      <c r="I33" s="136">
        <f>SUM('July 2015'!I33+'Aug 2015'!I33+'Sept 2015'!I33+'Oct. 2015'!I33+'Nov 2015'!I33+'Dec. 2015'!I33+'Jan. 2016'!I33+'Feb. 2016'!I33+'March 2016'!I33+'April 2016'!I33+'May 2016'!I33+'June 2016'!I33)</f>
        <v>10</v>
      </c>
      <c r="J33" s="136">
        <f>SUM('July 2015'!J33+'Aug 2015'!J33+'Sept 2015'!J33+'Oct. 2015'!J33+'Nov 2015'!J33+'Dec. 2015'!J33+'Jan. 2016'!J33+'Feb. 2016'!J33+'March 2016'!J33+'April 2016'!J33+'May 2016'!J33+'June 2016'!J33)</f>
        <v>4040</v>
      </c>
      <c r="K33" s="136">
        <f>SUM('July 2015'!K33+'Aug 2015'!K33+'Sept 2015'!K33+'Oct. 2015'!K33+'Nov 2015'!K33+'Dec. 2015'!K33+'Jan. 2016'!K33+'Feb. 2016'!K33+'March 2016'!K33+'April 2016'!K33+'May 2016'!K33+'June 2016'!K33)</f>
        <v>701</v>
      </c>
      <c r="L33" s="61">
        <f t="shared" si="3"/>
        <v>23283</v>
      </c>
    </row>
    <row r="34" spans="1:12" x14ac:dyDescent="0.2">
      <c r="B34" s="71" t="s">
        <v>113</v>
      </c>
      <c r="C34" s="136">
        <f>SUM('July 2015'!C34+'Aug 2015'!C34+'Sept 2015'!C34+'Oct. 2015'!C34+'Nov 2015'!C34+'Dec. 2015'!C34+'Jan. 2016'!C34+'Feb. 2016'!C34+'March 2016'!C34+'April 2016'!C34+'May 2016'!C34+'June 2016'!C34)</f>
        <v>669</v>
      </c>
      <c r="D34" s="136">
        <f>SUM('July 2015'!D34+'Aug 2015'!D34+'Sept 2015'!D34+'Oct. 2015'!D34+'Nov 2015'!D34+'Dec. 2015'!D34+'Jan. 2016'!D34+'Feb. 2016'!D34+'March 2016'!D34+'April 2016'!D34+'May 2016'!D34+'June 2016'!D34)</f>
        <v>341</v>
      </c>
      <c r="E34" s="136">
        <f>SUM('July 2015'!E34+'Aug 2015'!E34+'Sept 2015'!E34+'Oct. 2015'!E34+'Nov 2015'!E34+'Dec. 2015'!E34+'Jan. 2016'!E34+'Feb. 2016'!E34+'March 2016'!E34+'April 2016'!E34+'May 2016'!E34+'June 2016'!E34)</f>
        <v>497</v>
      </c>
      <c r="F34" s="136">
        <f>SUM('July 2015'!F34+'Aug 2015'!F34+'Sept 2015'!F34+'Oct. 2015'!F34+'Nov 2015'!F34+'Dec. 2015'!F34+'Jan. 2016'!F34+'Feb. 2016'!F34+'March 2016'!F34+'April 2016'!F34+'May 2016'!F34+'June 2016'!F34)</f>
        <v>714</v>
      </c>
      <c r="G34" s="136">
        <f>SUM('July 2015'!G34+'Aug 2015'!G34+'Sept 2015'!G34+'Oct. 2015'!G34+'Nov 2015'!G34+'Dec. 2015'!G34+'Jan. 2016'!G34+'Feb. 2016'!G34+'March 2016'!G34+'April 2016'!G34+'May 2016'!G34+'June 2016'!G34)</f>
        <v>469</v>
      </c>
      <c r="H34" s="136">
        <f>SUM('July 2015'!H34+'Aug 2015'!H34+'Sept 2015'!H34+'Oct. 2015'!H34+'Nov 2015'!H34+'Dec. 2015'!H34+'Jan. 2016'!H34+'Feb. 2016'!H34+'March 2016'!H34+'April 2016'!H34+'May 2016'!H34+'June 2016'!H34)</f>
        <v>616</v>
      </c>
      <c r="I34" s="136">
        <f>SUM('July 2015'!I34+'Aug 2015'!I34+'Sept 2015'!I34+'Oct. 2015'!I34+'Nov 2015'!I34+'Dec. 2015'!I34+'Jan. 2016'!I34+'Feb. 2016'!I34+'March 2016'!I34+'April 2016'!I34+'May 2016'!I34+'June 2016'!I34)</f>
        <v>108</v>
      </c>
      <c r="J34" s="136">
        <f>SUM('July 2015'!J34+'Aug 2015'!J34+'Sept 2015'!J34+'Oct. 2015'!J34+'Nov 2015'!J34+'Dec. 2015'!J34+'Jan. 2016'!J34+'Feb. 2016'!J34+'March 2016'!J34+'April 2016'!J34+'May 2016'!J34+'June 2016'!J34)</f>
        <v>902</v>
      </c>
      <c r="K34" s="136">
        <f>SUM('July 2015'!K34+'Aug 2015'!K34+'Sept 2015'!K34+'Oct. 2015'!K34+'Nov 2015'!K34+'Dec. 2015'!K34+'Jan. 2016'!K34+'Feb. 2016'!K34+'March 2016'!K34+'April 2016'!K34+'May 2016'!K34+'June 2016'!K34)</f>
        <v>209</v>
      </c>
      <c r="L34" s="61">
        <f t="shared" si="3"/>
        <v>4525</v>
      </c>
    </row>
    <row r="35" spans="1:12" ht="13.5" thickBot="1" x14ac:dyDescent="0.25">
      <c r="B35" s="153" t="s">
        <v>19</v>
      </c>
      <c r="C35" s="137">
        <f>SUM('July 2015'!C35+'Aug 2015'!C35+'Sept 2015'!C35+'Oct. 2015'!C35+'Nov 2015'!C35+'Dec. 2015'!C35+'Jan. 2016'!C35+'Feb. 2016'!C35+'March 2016'!C35+'April 2016'!C35+'May 2016'!C35+'June 2016'!C35)</f>
        <v>323</v>
      </c>
      <c r="D35" s="137">
        <f>SUM('July 2015'!D35+'Aug 2015'!D35+'Sept 2015'!D35+'Oct. 2015'!D35+'Nov 2015'!D35+'Dec. 2015'!D35+'Jan. 2016'!D35+'Feb. 2016'!D35+'March 2016'!D35+'April 2016'!D35+'May 2016'!D35+'June 2016'!D35)</f>
        <v>258</v>
      </c>
      <c r="E35" s="137">
        <f>SUM('July 2015'!E35+'Aug 2015'!E35+'Sept 2015'!E35+'Oct. 2015'!E35+'Nov 2015'!E35+'Dec. 2015'!E35+'Jan. 2016'!E35+'Feb. 2016'!E35+'March 2016'!E35+'April 2016'!E35+'May 2016'!E35+'June 2016'!E35)</f>
        <v>875</v>
      </c>
      <c r="F35" s="137">
        <f>SUM('July 2015'!F35+'Aug 2015'!F35+'Sept 2015'!F35+'Oct. 2015'!F35+'Nov 2015'!F35+'Dec. 2015'!F35+'Jan. 2016'!F35+'Feb. 2016'!F35+'March 2016'!F35+'April 2016'!F35+'May 2016'!F35+'June 2016'!F35)</f>
        <v>1337</v>
      </c>
      <c r="G35" s="137">
        <f>SUM('July 2015'!G35+'Aug 2015'!G35+'Sept 2015'!G35+'Oct. 2015'!G35+'Nov 2015'!G35+'Dec. 2015'!G35+'Jan. 2016'!G35+'Feb. 2016'!G35+'March 2016'!G35+'April 2016'!G35+'May 2016'!G35+'June 2016'!G35)</f>
        <v>808</v>
      </c>
      <c r="H35" s="137">
        <f>SUM('July 2015'!H35+'Aug 2015'!H35+'Sept 2015'!H35+'Oct. 2015'!H35+'Nov 2015'!H35+'Dec. 2015'!H35+'Jan. 2016'!H35+'Feb. 2016'!H35+'March 2016'!H35+'April 2016'!H35+'May 2016'!H35+'June 2016'!H35)</f>
        <v>247</v>
      </c>
      <c r="I35" s="137">
        <f>SUM('July 2015'!I35+'Aug 2015'!I35+'Sept 2015'!I35+'Oct. 2015'!I35+'Nov 2015'!I35+'Dec. 2015'!I35+'Jan. 2016'!I35+'Feb. 2016'!I35+'March 2016'!I35+'April 2016'!I35+'May 2016'!I35+'June 2016'!I35)</f>
        <v>243</v>
      </c>
      <c r="J35" s="137">
        <f>SUM('July 2015'!J35+'Aug 2015'!J35+'Sept 2015'!J35+'Oct. 2015'!J35+'Nov 2015'!J35+'Dec. 2015'!J35+'Jan. 2016'!J35+'Feb. 2016'!J35+'March 2016'!J35+'April 2016'!J35+'May 2016'!J35+'June 2016'!J35)</f>
        <v>1992</v>
      </c>
      <c r="K35" s="137">
        <f>SUM('July 2015'!K35+'Aug 2015'!K35+'Sept 2015'!K35+'Oct. 2015'!K35+'Nov 2015'!K35+'Dec. 2015'!K35+'Jan. 2016'!K35+'Feb. 2016'!K35+'March 2016'!K35+'April 2016'!K35+'May 2016'!K35+'June 2016'!K35)</f>
        <v>713</v>
      </c>
      <c r="L35" s="150">
        <f t="shared" si="3"/>
        <v>6796</v>
      </c>
    </row>
    <row r="36" spans="1:12" ht="13.5" thickTop="1" x14ac:dyDescent="0.2">
      <c r="B36" s="69" t="s">
        <v>14</v>
      </c>
      <c r="C36" s="45">
        <f t="shared" ref="C36:K36" si="4">SUM(C31:C35)</f>
        <v>4213</v>
      </c>
      <c r="D36" s="45">
        <f t="shared" si="4"/>
        <v>2769</v>
      </c>
      <c r="E36" s="45">
        <f t="shared" si="4"/>
        <v>9578</v>
      </c>
      <c r="F36" s="45">
        <f t="shared" si="4"/>
        <v>9087</v>
      </c>
      <c r="G36" s="45">
        <f t="shared" si="4"/>
        <v>8105</v>
      </c>
      <c r="H36" s="45">
        <f t="shared" si="4"/>
        <v>3697</v>
      </c>
      <c r="I36" s="45">
        <f t="shared" si="4"/>
        <v>402</v>
      </c>
      <c r="J36" s="45">
        <f t="shared" si="4"/>
        <v>9979</v>
      </c>
      <c r="K36" s="45">
        <f t="shared" si="4"/>
        <v>2899</v>
      </c>
      <c r="L36" s="95">
        <f t="shared" si="3"/>
        <v>50729</v>
      </c>
    </row>
    <row r="38" spans="1:12" x14ac:dyDescent="0.2">
      <c r="A38" s="186" t="s">
        <v>57</v>
      </c>
      <c r="B38" s="187"/>
      <c r="C38" s="138">
        <f>SUM('July 2015'!C38+'Aug 2015'!C38+'Sept 2015'!C38+'Oct. 2015'!C38+'Nov 2015'!C38+'Dec. 2015'!C38+'Jan. 2016'!C38+'Feb. 2016'!C38+'March 2016'!C38+'April 2016'!C38+'May 2016'!C38+'June 2016'!C38)</f>
        <v>72</v>
      </c>
      <c r="D38" s="138">
        <f>SUM('July 2015'!D38+'Aug 2015'!D38+'Sept 2015'!D38+'Oct. 2015'!D38+'Nov 2015'!D38+'Dec. 2015'!D38+'Jan. 2016'!D38+'Feb. 2016'!D38+'March 2016'!D38+'April 2016'!D38+'May 2016'!D38+'June 2016'!D38)</f>
        <v>1</v>
      </c>
      <c r="E38" s="138">
        <f>SUM('July 2015'!E38+'Aug 2015'!E38+'Sept 2015'!E38+'Oct. 2015'!E38+'Nov 2015'!E38+'Dec. 2015'!E38+'Jan. 2016'!E38+'Feb. 2016'!E38+'March 2016'!E38+'April 2016'!E38+'May 2016'!E38+'June 2016'!E38)</f>
        <v>105</v>
      </c>
      <c r="F38" s="138">
        <f>SUM('July 2015'!F38+'Aug 2015'!F38+'Sept 2015'!F38+'Oct. 2015'!F38+'Nov 2015'!F38+'Dec. 2015'!F38+'Jan. 2016'!F38+'Feb. 2016'!F38+'March 2016'!F38+'April 2016'!F38+'May 2016'!F38+'June 2016'!F38)</f>
        <v>161</v>
      </c>
      <c r="G38" s="138">
        <f>SUM('July 2015'!G38+'Aug 2015'!G38+'Sept 2015'!G38+'Oct. 2015'!G38+'Nov 2015'!G38+'Dec. 2015'!G38+'Jan. 2016'!G38+'Feb. 2016'!G38+'March 2016'!G38+'April 2016'!G38+'May 2016'!G38+'June 2016'!G38)</f>
        <v>156</v>
      </c>
      <c r="H38" s="138">
        <f>SUM('July 2015'!H38+'Aug 2015'!H38+'Sept 2015'!H38+'Oct. 2015'!H38+'Nov 2015'!H38+'Dec. 2015'!H38+'Jan. 2016'!H38+'Feb. 2016'!H38+'March 2016'!H38+'April 2016'!H38+'May 2016'!H38+'June 2016'!H38)</f>
        <v>1</v>
      </c>
      <c r="I38" s="138">
        <f>SUM('July 2015'!I38+'Aug 2015'!I38+'Sept 2015'!I38+'Oct. 2015'!I38+'Nov 2015'!I38+'Dec. 2015'!I38+'Jan. 2016'!I38+'Feb. 2016'!I38+'March 2016'!I38+'April 2016'!I38+'May 2016'!I38+'June 2016'!I38)</f>
        <v>0</v>
      </c>
      <c r="J38" s="138">
        <f>SUM('July 2015'!J38+'Aug 2015'!J38+'Sept 2015'!J38+'Oct. 2015'!J38+'Nov 2015'!J38+'Dec. 2015'!J38+'Jan. 2016'!J38+'Feb. 2016'!J38+'March 2016'!J38+'April 2016'!J38+'May 2016'!J38+'June 2016'!J38)</f>
        <v>142</v>
      </c>
      <c r="K38" s="138">
        <f>SUM('July 2015'!K38+'Aug 2015'!K38+'Sept 2015'!K38+'Oct. 2015'!K38+'Nov 2015'!K38+'Dec. 2015'!K38+'Jan. 2016'!K38+'Feb. 2016'!K38+'March 2016'!K38+'April 2016'!K38+'May 2016'!K38+'June 2016'!K38)</f>
        <v>0</v>
      </c>
      <c r="L38" s="154">
        <f>SUM(C38:K38)</f>
        <v>638</v>
      </c>
    </row>
    <row r="39" spans="1:12" ht="13.5" thickBot="1" x14ac:dyDescent="0.25">
      <c r="A39" s="71" t="s">
        <v>158</v>
      </c>
      <c r="B39" s="60"/>
      <c r="C39" s="137">
        <f>SUM('July 2015'!C39+'Aug 2015'!C39+'Sept 2015'!C39+'Oct. 2015'!C39+'Nov 2015'!C39+'Dec. 2015'!C39+'Jan. 2016'!C39+'Feb. 2016'!C39+'March 2016'!C39+'April 2016'!C39+'May 2016'!C39+'June 2016'!C39)</f>
        <v>0</v>
      </c>
      <c r="D39" s="137">
        <f>SUM('July 2015'!D39+'Aug 2015'!D39+'Sept 2015'!D39+'Oct. 2015'!D39+'Nov 2015'!D39+'Dec. 2015'!D39+'Jan. 2016'!D39+'Feb. 2016'!D39+'March 2016'!D39+'April 2016'!D39+'May 2016'!D39+'June 2016'!D39)</f>
        <v>8</v>
      </c>
      <c r="E39" s="137">
        <f>SUM('July 2015'!E39+'Aug 2015'!E39+'Sept 2015'!E39+'Oct. 2015'!E39+'Nov 2015'!E39+'Dec. 2015'!E39+'Jan. 2016'!E39+'Feb. 2016'!E39+'March 2016'!E39+'April 2016'!E39+'May 2016'!E39+'June 2016'!E39)</f>
        <v>3</v>
      </c>
      <c r="F39" s="137">
        <f>SUM('July 2015'!F39+'Aug 2015'!F39+'Sept 2015'!F39+'Oct. 2015'!F39+'Nov 2015'!F39+'Dec. 2015'!F39+'Jan. 2016'!F39+'Feb. 2016'!F39+'March 2016'!F39+'April 2016'!F39+'May 2016'!F39+'June 2016'!F39)</f>
        <v>231</v>
      </c>
      <c r="G39" s="137">
        <f>SUM('July 2015'!G39+'Aug 2015'!G39+'Sept 2015'!G39+'Oct. 2015'!G39+'Nov 2015'!G39+'Dec. 2015'!G39+'Jan. 2016'!G39+'Feb. 2016'!G39+'March 2016'!G39+'April 2016'!G39+'May 2016'!G39+'June 2016'!G39)</f>
        <v>332</v>
      </c>
      <c r="H39" s="137">
        <f>SUM('July 2015'!H39+'Aug 2015'!H39+'Sept 2015'!H39+'Oct. 2015'!H39+'Nov 2015'!H39+'Dec. 2015'!H39+'Jan. 2016'!H39+'Feb. 2016'!H39+'March 2016'!H39+'April 2016'!H39+'May 2016'!H39+'June 2016'!H39)</f>
        <v>50</v>
      </c>
      <c r="I39" s="137">
        <f>SUM('July 2015'!I39+'Aug 2015'!I39+'Sept 2015'!I39+'Oct. 2015'!I39+'Nov 2015'!I39+'Dec. 2015'!I39+'Jan. 2016'!I39+'Feb. 2016'!I39+'March 2016'!I39+'April 2016'!I39+'May 2016'!I39+'June 2016'!I39)</f>
        <v>0</v>
      </c>
      <c r="J39" s="137">
        <f>SUM('July 2015'!J39+'Aug 2015'!J39+'Sept 2015'!J39+'Oct. 2015'!J39+'Nov 2015'!J39+'Dec. 2015'!J39+'Jan. 2016'!J39+'Feb. 2016'!J39+'March 2016'!J39+'April 2016'!J39+'May 2016'!J39+'June 2016'!J39)</f>
        <v>3468</v>
      </c>
      <c r="K39" s="137">
        <f>SUM('July 2015'!K39+'Aug 2015'!K39+'Sept 2015'!K39+'Oct. 2015'!K39+'Nov 2015'!K39+'Dec. 2015'!K39+'Jan. 2016'!K39+'Feb. 2016'!K39+'March 2016'!K39+'April 2016'!K39+'May 2016'!K39+'June 2016'!K39)</f>
        <v>0</v>
      </c>
      <c r="L39" s="175">
        <f>SUM(C39:K39)</f>
        <v>4092</v>
      </c>
    </row>
    <row r="40" spans="1:12" ht="13.5" thickTop="1" x14ac:dyDescent="0.2">
      <c r="A40" s="69"/>
      <c r="B40" s="65" t="s">
        <v>7</v>
      </c>
      <c r="C40" s="139">
        <f>SUM('July 2015'!C40+'Aug 2015'!C40+'Sept 2015'!C40+'Oct. 2015'!C40+'Nov 2015'!C40+'Dec. 2015'!C40+'Jan. 2016'!C40+'Feb. 2016'!C40+'March 2016'!C40+'April 2016'!C40+'May 2016'!C40+'June 2016'!C40)</f>
        <v>72</v>
      </c>
      <c r="D40" s="139">
        <f>SUM('July 2015'!D40+'Aug 2015'!D40+'Sept 2015'!D40+'Oct. 2015'!D40+'Nov 2015'!D40+'Dec. 2015'!D40+'Jan. 2016'!D40+'Feb. 2016'!D40+'March 2016'!D40+'April 2016'!D40+'May 2016'!D40+'June 2016'!D40)</f>
        <v>9</v>
      </c>
      <c r="E40" s="139">
        <f>SUM('July 2015'!E40+'Aug 2015'!E40+'Sept 2015'!E40+'Oct. 2015'!E40+'Nov 2015'!E40+'Dec. 2015'!E40+'Jan. 2016'!E40+'Feb. 2016'!E40+'March 2016'!E40+'April 2016'!E40+'May 2016'!E40+'June 2016'!E40)</f>
        <v>108</v>
      </c>
      <c r="F40" s="139">
        <f>SUM('July 2015'!F40+'Aug 2015'!F40+'Sept 2015'!F40+'Oct. 2015'!F40+'Nov 2015'!F40+'Dec. 2015'!F40+'Jan. 2016'!F40+'Feb. 2016'!F40+'March 2016'!F40+'April 2016'!F40+'May 2016'!F40+'June 2016'!F40)</f>
        <v>392</v>
      </c>
      <c r="G40" s="139">
        <f>SUM('July 2015'!G40+'Aug 2015'!G40+'Sept 2015'!G40+'Oct. 2015'!G40+'Nov 2015'!G40+'Dec. 2015'!G40+'Jan. 2016'!G40+'Feb. 2016'!G40+'March 2016'!G40+'April 2016'!G40+'May 2016'!G40+'June 2016'!G40)</f>
        <v>488</v>
      </c>
      <c r="H40" s="139">
        <f>SUM('July 2015'!H40+'Aug 2015'!H40+'Sept 2015'!H40+'Oct. 2015'!H40+'Nov 2015'!H40+'Dec. 2015'!H40+'Jan. 2016'!H40+'Feb. 2016'!H40+'March 2016'!H40+'April 2016'!H40+'May 2016'!H40+'June 2016'!H40)</f>
        <v>51</v>
      </c>
      <c r="I40" s="139">
        <f>SUM('July 2015'!I40+'Aug 2015'!I40+'Sept 2015'!I40+'Oct. 2015'!I40+'Nov 2015'!I40+'Dec. 2015'!I40+'Jan. 2016'!I40+'Feb. 2016'!I40+'March 2016'!I40+'April 2016'!I40+'May 2016'!I40+'June 2016'!I40)</f>
        <v>0</v>
      </c>
      <c r="J40" s="139">
        <f>SUM('July 2015'!J40+'Aug 2015'!J40+'Sept 2015'!J40+'Oct. 2015'!J40+'Nov 2015'!J40+'Dec. 2015'!J40+'Jan. 2016'!J40+'Feb. 2016'!J40+'March 2016'!J40+'April 2016'!J40+'May 2016'!J40+'June 2016'!J40)</f>
        <v>3610</v>
      </c>
      <c r="K40" s="139">
        <f>SUM('July 2015'!K40+'Aug 2015'!K40+'Sept 2015'!K40+'Oct. 2015'!K40+'Nov 2015'!K40+'Dec. 2015'!K40+'Jan. 2016'!K40+'Feb. 2016'!K40+'March 2016'!K40+'April 2016'!K40+'May 2016'!K40+'June 2016'!K40)</f>
        <v>0</v>
      </c>
      <c r="L40" s="156">
        <f>SUM(L38:L39)</f>
        <v>4730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1" t="s">
        <v>56</v>
      </c>
      <c r="B42" s="188"/>
      <c r="C42" s="176">
        <f>SUM('July 2015'!C42+'Aug 2015'!C42+'Sept 2015'!C42+'Oct. 2015'!C42+'Nov 2015'!C42+'Dec. 2015'!C42+'Jan. 2016'!C42+'Feb. 2016'!C42+'March 2016'!C42+'April 2016'!C42+'May 2016'!C42+'June 2016'!C42)</f>
        <v>0</v>
      </c>
      <c r="D42" s="176">
        <f>SUM('July 2015'!D42+'Aug 2015'!D42+'Sept 2015'!D42+'Oct. 2015'!D42+'Nov 2015'!D42+'Dec. 2015'!D42+'Jan. 2016'!D42+'Feb. 2016'!D42+'March 2016'!D42+'April 2016'!D42+'May 2016'!D42+'June 2016'!D42)</f>
        <v>0</v>
      </c>
      <c r="E42" s="176">
        <f>SUM('July 2015'!E42+'Aug 2015'!E42+'Sept 2015'!E42+'Oct. 2015'!E42+'Nov 2015'!E42+'Dec. 2015'!E42+'Jan. 2016'!E42+'Feb. 2016'!E42+'March 2016'!E42+'April 2016'!E42+'May 2016'!E42+'June 2016'!E42)</f>
        <v>12</v>
      </c>
      <c r="F42" s="176">
        <f>SUM('July 2015'!F42+'Aug 2015'!F42+'Sept 2015'!F42+'Oct. 2015'!F42+'Nov 2015'!F42+'Dec. 2015'!F42+'Jan. 2016'!F42+'Feb. 2016'!F42+'March 2016'!F42+'April 2016'!F42+'May 2016'!F42+'June 2016'!F42)</f>
        <v>30</v>
      </c>
      <c r="G42" s="176">
        <f>SUM('July 2015'!G42+'Aug 2015'!G42+'Sept 2015'!G42+'Oct. 2015'!G42+'Nov 2015'!G42+'Dec. 2015'!G42+'Jan. 2016'!G42+'Feb. 2016'!G42+'March 2016'!G42+'April 2016'!G42+'May 2016'!G42+'June 2016'!G42)</f>
        <v>23</v>
      </c>
      <c r="H42" s="176">
        <f>SUM('July 2015'!H42+'Aug 2015'!H42+'Sept 2015'!H42+'Oct. 2015'!H42+'Nov 2015'!H42+'Dec. 2015'!H42+'Jan. 2016'!H42+'Feb. 2016'!H42+'March 2016'!H42+'April 2016'!H42+'May 2016'!H42+'June 2016'!H42)</f>
        <v>0</v>
      </c>
      <c r="I42" s="176">
        <f>SUM('July 2015'!I42+'Aug 2015'!I42+'Sept 2015'!I42+'Oct. 2015'!I42+'Nov 2015'!I42+'Dec. 2015'!I42+'Jan. 2016'!I42+'Feb. 2016'!I42+'March 2016'!I42+'April 2016'!I42+'May 2016'!I42+'June 2016'!I42)</f>
        <v>0</v>
      </c>
      <c r="J42" s="176">
        <f>SUM('July 2015'!J42+'Aug 2015'!J42+'Sept 2015'!J42+'Oct. 2015'!J42+'Nov 2015'!J42+'Dec. 2015'!J42+'Jan. 2016'!J42+'Feb. 2016'!J42+'March 2016'!J42+'April 2016'!J42+'May 2016'!J42+'June 2016'!J42)</f>
        <v>253</v>
      </c>
      <c r="K42" s="176">
        <f>SUM('July 2015'!K42+'Aug 2015'!K42+'Sept 2015'!K42+'Oct. 2015'!K42+'Nov 2015'!K42+'Dec. 2015'!K42+'Jan. 2016'!K42+'Feb. 2016'!K42+'March 2016'!K42+'April 2016'!K42+'May 2016'!K42+'June 2016'!K42)</f>
        <v>0</v>
      </c>
      <c r="L42" s="159">
        <f>SUM(C42:K42)</f>
        <v>318</v>
      </c>
    </row>
    <row r="43" spans="1:12" x14ac:dyDescent="0.2">
      <c r="A43" s="38"/>
    </row>
    <row r="44" spans="1:12" x14ac:dyDescent="0.2">
      <c r="A44" s="186" t="s">
        <v>21</v>
      </c>
      <c r="B44" s="192"/>
      <c r="C44" s="138">
        <f>SUM('July 2015'!C44+'Aug 2015'!C44+'Sept 2015'!C44+'Oct. 2015'!C44+'Nov 2015'!C44+'Dec. 2015'!C44+'Jan. 2016'!C44+'Feb. 2016'!C44+'March 2016'!C44+'April 2016'!C44+'May 2016'!C44+'June 2016'!C44)</f>
        <v>0</v>
      </c>
      <c r="D44" s="138">
        <f>SUM('July 2015'!D44+'Aug 2015'!D44+'Sept 2015'!D44+'Oct. 2015'!D44+'Nov 2015'!D44+'Dec. 2015'!D44+'Jan. 2016'!D44+'Feb. 2016'!D44+'March 2016'!D44+'April 2016'!D44+'May 2016'!D44+'June 2016'!D44)</f>
        <v>6</v>
      </c>
      <c r="E44" s="138">
        <f>SUM('July 2015'!E44+'Aug 2015'!E44+'Sept 2015'!E44+'Oct. 2015'!E44+'Nov 2015'!E44+'Dec. 2015'!E44+'Jan. 2016'!E44+'Feb. 2016'!E44+'March 2016'!E44+'April 2016'!E44+'May 2016'!E44+'June 2016'!E44)</f>
        <v>7</v>
      </c>
      <c r="F44" s="138">
        <f>SUM('July 2015'!F44+'Aug 2015'!F44+'Sept 2015'!F44+'Oct. 2015'!F44+'Nov 2015'!F44+'Dec. 2015'!F44+'Jan. 2016'!F44+'Feb. 2016'!F44+'March 2016'!F44+'April 2016'!F44+'May 2016'!F44+'June 2016'!F44)</f>
        <v>2</v>
      </c>
      <c r="G44" s="138">
        <f>SUM('July 2015'!G44+'Aug 2015'!G44+'Sept 2015'!G44+'Oct. 2015'!G44+'Nov 2015'!G44+'Dec. 2015'!G44+'Jan. 2016'!G44+'Feb. 2016'!G44+'March 2016'!G44+'April 2016'!G44+'May 2016'!G44+'June 2016'!G44)</f>
        <v>4</v>
      </c>
      <c r="H44" s="138">
        <f>SUM('July 2015'!H44+'Aug 2015'!H44+'Sept 2015'!H44+'Oct. 2015'!H44+'Nov 2015'!H44+'Dec. 2015'!H44+'Jan. 2016'!H44+'Feb. 2016'!H44+'March 2016'!H44+'April 2016'!H44+'May 2016'!H44+'June 2016'!H44)</f>
        <v>0</v>
      </c>
      <c r="I44" s="138">
        <f>SUM('July 2015'!I44+'Aug 2015'!I44+'Sept 2015'!I44+'Oct. 2015'!I44+'Nov 2015'!I44+'Dec. 2015'!I44+'Jan. 2016'!I44+'Feb. 2016'!I44+'March 2016'!I44+'April 2016'!I44+'May 2016'!I44+'June 2016'!I44)</f>
        <v>0</v>
      </c>
      <c r="J44" s="138">
        <f>SUM('July 2015'!J44+'Aug 2015'!J44+'Sept 2015'!J44+'Oct. 2015'!J44+'Nov 2015'!J44+'Dec. 2015'!J44+'Jan. 2016'!J44+'Feb. 2016'!J44+'March 2016'!J44+'April 2016'!J44+'May 2016'!J44+'June 2016'!J44)</f>
        <v>12</v>
      </c>
      <c r="K44" s="138">
        <f>SUM('July 2015'!K44+'Aug 2015'!K44+'Sept 2015'!K44+'Oct. 2015'!K44+'Nov 2015'!K44+'Dec. 2015'!K44+'Jan. 2016'!K44+'Feb. 2016'!K44+'March 2016'!K44+'April 2016'!K44+'May 2016'!K44+'June 2016'!K44)</f>
        <v>5</v>
      </c>
      <c r="L44" s="41">
        <f>SUM(C44:K44)</f>
        <v>36</v>
      </c>
    </row>
    <row r="45" spans="1:12" x14ac:dyDescent="0.2">
      <c r="A45" s="69" t="s">
        <v>22</v>
      </c>
      <c r="B45" s="65"/>
      <c r="C45" s="139">
        <f>SUM('July 2015'!C45+'Aug 2015'!C45+'Sept 2015'!C45+'Oct. 2015'!C45+'Nov 2015'!C45+'Dec. 2015'!C45+'Jan. 2016'!C45+'Feb. 2016'!C45+'March 2016'!C45+'April 2016'!C45+'May 2016'!C45+'June 2016'!C45)</f>
        <v>0</v>
      </c>
      <c r="D45" s="139">
        <f>SUM('July 2015'!D45+'Aug 2015'!D45+'Sept 2015'!D45+'Oct. 2015'!D45+'Nov 2015'!D45+'Dec. 2015'!D45+'Jan. 2016'!D45+'Feb. 2016'!D45+'March 2016'!D45+'April 2016'!D45+'May 2016'!D45+'June 2016'!D45)</f>
        <v>12</v>
      </c>
      <c r="E45" s="139">
        <f>SUM('July 2015'!E45+'Aug 2015'!E45+'Sept 2015'!E45+'Oct. 2015'!E45+'Nov 2015'!E45+'Dec. 2015'!E45+'Jan. 2016'!E45+'Feb. 2016'!E45+'March 2016'!E45+'April 2016'!E45+'May 2016'!E45+'June 2016'!E45)</f>
        <v>114</v>
      </c>
      <c r="F45" s="139">
        <f>SUM('July 2015'!F45+'Aug 2015'!F45+'Sept 2015'!F45+'Oct. 2015'!F45+'Nov 2015'!F45+'Dec. 2015'!F45+'Jan. 2016'!F45+'Feb. 2016'!F45+'March 2016'!F45+'April 2016'!F45+'May 2016'!F45+'June 2016'!F45)</f>
        <v>30</v>
      </c>
      <c r="G45" s="139">
        <f>SUM('July 2015'!G45+'Aug 2015'!G45+'Sept 2015'!G45+'Oct. 2015'!G45+'Nov 2015'!G45+'Dec. 2015'!G45+'Jan. 2016'!G45+'Feb. 2016'!G45+'March 2016'!G45+'April 2016'!G45+'May 2016'!G45+'June 2016'!G45)</f>
        <v>85</v>
      </c>
      <c r="H45" s="139">
        <f>SUM('July 2015'!H45+'Aug 2015'!H45+'Sept 2015'!H45+'Oct. 2015'!H45+'Nov 2015'!H45+'Dec. 2015'!H45+'Jan. 2016'!H45+'Feb. 2016'!H45+'March 2016'!H45+'April 2016'!H45+'May 2016'!H45+'June 2016'!H45)</f>
        <v>0</v>
      </c>
      <c r="I45" s="139">
        <f>SUM('July 2015'!I45+'Aug 2015'!I45+'Sept 2015'!I45+'Oct. 2015'!I45+'Nov 2015'!I45+'Dec. 2015'!I45+'Jan. 2016'!I45+'Feb. 2016'!I45+'March 2016'!I45+'April 2016'!I45+'May 2016'!I45+'June 2016'!I45)</f>
        <v>0</v>
      </c>
      <c r="J45" s="139">
        <f>SUM('July 2015'!J45+'Aug 2015'!J45+'Sept 2015'!J45+'Oct. 2015'!J45+'Nov 2015'!J45+'Dec. 2015'!J45+'Jan. 2016'!J45+'Feb. 2016'!J45+'March 2016'!J45+'April 2016'!J45+'May 2016'!J45+'June 2016'!J45)</f>
        <v>199</v>
      </c>
      <c r="K45" s="139">
        <f>SUM('July 2015'!K45+'Aug 2015'!K45+'Sept 2015'!K45+'Oct. 2015'!K45+'Nov 2015'!K45+'Dec. 2015'!K45+'Jan. 2016'!K45+'Feb. 2016'!K45+'March 2016'!K45+'April 2016'!K45+'May 2016'!K45+'June 2016'!K45)</f>
        <v>38</v>
      </c>
      <c r="L45" s="46">
        <f>SUM(C45:K45)</f>
        <v>478</v>
      </c>
    </row>
    <row r="46" spans="1:12" x14ac:dyDescent="0.2">
      <c r="A46" s="38"/>
    </row>
    <row r="47" spans="1:12" x14ac:dyDescent="0.2">
      <c r="A47" s="200" t="s">
        <v>240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136">
        <f>SUM('July 2015'!C49+'Aug 2015'!C49+'Sept 2015'!C49+'Oct. 2015'!C49+'Nov 2015'!C49+'Dec. 2015'!C49+'Jan. 2016'!C49+'Feb. 2016'!C49+'March 2016'!C49+'April 2016'!C49+'May 2016'!C49+'June 2016'!C49)</f>
        <v>29</v>
      </c>
      <c r="D49" s="136">
        <f>SUM('July 2015'!D49+'Aug 2015'!D49+'Sept 2015'!D49+'Oct. 2015'!D49+'Nov 2015'!D49+'Dec. 2015'!D49+'Jan. 2016'!D49+'Feb. 2016'!D49+'March 2016'!D49+'April 2016'!D49+'May 2016'!D49+'June 2016'!D49)</f>
        <v>8</v>
      </c>
      <c r="E49" s="136">
        <f>SUM('July 2015'!E49+'Aug 2015'!E49+'Sept 2015'!E49+'Oct. 2015'!E49+'Nov 2015'!E49+'Dec. 2015'!E49+'Jan. 2016'!E49+'Feb. 2016'!E49+'March 2016'!E49+'April 2016'!E49+'May 2016'!E49+'June 2016'!E49)</f>
        <v>51</v>
      </c>
      <c r="F49" s="136">
        <f>SUM('July 2015'!F49+'Aug 2015'!F49+'Sept 2015'!F49+'Oct. 2015'!F49+'Nov 2015'!F49+'Dec. 2015'!F49+'Jan. 2016'!F49+'Feb. 2016'!F49+'March 2016'!F49+'April 2016'!F49+'May 2016'!F49+'June 2016'!F49)</f>
        <v>82</v>
      </c>
      <c r="G49" s="136">
        <f>SUM('July 2015'!G49+'Aug 2015'!G49+'Sept 2015'!G49+'Oct. 2015'!G49+'Nov 2015'!G49+'Dec. 2015'!G49+'Jan. 2016'!G49+'Feb. 2016'!G49+'March 2016'!G49+'April 2016'!G49+'May 2016'!G49+'June 2016'!G49)</f>
        <v>87</v>
      </c>
      <c r="H49" s="136">
        <f>SUM('July 2015'!H49+'Aug 2015'!H49+'Sept 2015'!H49+'Oct. 2015'!H49+'Nov 2015'!H49+'Dec. 2015'!H49+'Jan. 2016'!H49+'Feb. 2016'!H49+'March 2016'!H49+'April 2016'!H49+'May 2016'!H49+'June 2016'!H49)</f>
        <v>43</v>
      </c>
      <c r="I49" s="136">
        <f>SUM('July 2015'!I49+'Aug 2015'!I49+'Sept 2015'!I49+'Oct. 2015'!I49+'Nov 2015'!I49+'Dec. 2015'!I49+'Jan. 2016'!I49+'Feb. 2016'!I49+'March 2016'!I49+'April 2016'!I49+'May 2016'!I49+'June 2016'!I49)</f>
        <v>10</v>
      </c>
      <c r="J49" s="136">
        <f>SUM('July 2015'!J49+'Aug 2015'!J49+'Sept 2015'!J49+'Oct. 2015'!J49+'Nov 2015'!J49+'Dec. 2015'!J49+'Jan. 2016'!J49+'Feb. 2016'!J49+'March 2016'!J49+'April 2016'!J49+'May 2016'!J49+'June 2016'!J49)</f>
        <v>193</v>
      </c>
      <c r="K49" s="136">
        <f>SUM('July 2015'!K49+'Aug 2015'!K49+'Sept 2015'!K49+'Oct. 2015'!K49+'Nov 2015'!K49+'Dec. 2015'!K49+'Jan. 2016'!K49+'Feb. 2016'!K49+'March 2016'!K49+'April 2016'!K49+'May 2016'!K49+'June 2016'!K49)</f>
        <v>33</v>
      </c>
      <c r="L49" s="4">
        <f t="shared" ref="L49:L76" si="5">SUM(C49:K49)</f>
        <v>536</v>
      </c>
    </row>
    <row r="50" spans="2:12" x14ac:dyDescent="0.2">
      <c r="B50" s="42" t="s">
        <v>119</v>
      </c>
      <c r="C50" s="136">
        <f>SUM('July 2015'!C50+'Aug 2015'!C50+'Sept 2015'!C50+'Oct. 2015'!C50+'Nov 2015'!C50+'Dec. 2015'!C50+'Jan. 2016'!C50+'Feb. 2016'!C50+'March 2016'!C50+'April 2016'!C50+'May 2016'!C50+'June 2016'!C50)</f>
        <v>3</v>
      </c>
      <c r="D50" s="136">
        <f>SUM('July 2015'!D50+'Aug 2015'!D50+'Sept 2015'!D50+'Oct. 2015'!D50+'Nov 2015'!D50+'Dec. 2015'!D50+'Jan. 2016'!D50+'Feb. 2016'!D50+'March 2016'!D50+'April 2016'!D50+'May 2016'!D50+'June 2016'!D50)</f>
        <v>3</v>
      </c>
      <c r="E50" s="136">
        <f>SUM('July 2015'!E50+'Aug 2015'!E50+'Sept 2015'!E50+'Oct. 2015'!E50+'Nov 2015'!E50+'Dec. 2015'!E50+'Jan. 2016'!E50+'Feb. 2016'!E50+'March 2016'!E50+'April 2016'!E50+'May 2016'!E50+'June 2016'!E50)</f>
        <v>9</v>
      </c>
      <c r="F50" s="136">
        <f>SUM('July 2015'!F50+'Aug 2015'!F50+'Sept 2015'!F50+'Oct. 2015'!F50+'Nov 2015'!F50+'Dec. 2015'!F50+'Jan. 2016'!F50+'Feb. 2016'!F50+'March 2016'!F50+'April 2016'!F50+'May 2016'!F50+'June 2016'!F50)</f>
        <v>22</v>
      </c>
      <c r="G50" s="136">
        <f>SUM('July 2015'!G50+'Aug 2015'!G50+'Sept 2015'!G50+'Oct. 2015'!G50+'Nov 2015'!G50+'Dec. 2015'!G50+'Jan. 2016'!G50+'Feb. 2016'!G50+'March 2016'!G50+'April 2016'!G50+'May 2016'!G50+'June 2016'!G50)</f>
        <v>19</v>
      </c>
      <c r="H50" s="136">
        <f>SUM('July 2015'!H50+'Aug 2015'!H50+'Sept 2015'!H50+'Oct. 2015'!H50+'Nov 2015'!H50+'Dec. 2015'!H50+'Jan. 2016'!H50+'Feb. 2016'!H50+'March 2016'!H50+'April 2016'!H50+'May 2016'!H50+'June 2016'!H50)</f>
        <v>3</v>
      </c>
      <c r="I50" s="136">
        <f>SUM('July 2015'!I50+'Aug 2015'!I50+'Sept 2015'!I50+'Oct. 2015'!I50+'Nov 2015'!I50+'Dec. 2015'!I50+'Jan. 2016'!I50+'Feb. 2016'!I50+'March 2016'!I50+'April 2016'!I50+'May 2016'!I50+'June 2016'!I50)</f>
        <v>6</v>
      </c>
      <c r="J50" s="136">
        <f>SUM('July 2015'!J50+'Aug 2015'!J50+'Sept 2015'!J50+'Oct. 2015'!J50+'Nov 2015'!J50+'Dec. 2015'!J50+'Jan. 2016'!J50+'Feb. 2016'!J50+'March 2016'!J50+'April 2016'!J50+'May 2016'!J50+'June 2016'!J50)</f>
        <v>15</v>
      </c>
      <c r="K50" s="136">
        <f>SUM('July 2015'!K50+'Aug 2015'!K50+'Sept 2015'!K50+'Oct. 2015'!K50+'Nov 2015'!K50+'Dec. 2015'!K50+'Jan. 2016'!K50+'Feb. 2016'!K50+'March 2016'!K50+'April 2016'!K50+'May 2016'!K50+'June 2016'!K50)</f>
        <v>2</v>
      </c>
      <c r="L50" s="4">
        <f t="shared" si="5"/>
        <v>82</v>
      </c>
    </row>
    <row r="51" spans="2:12" x14ac:dyDescent="0.2">
      <c r="B51" s="42" t="s">
        <v>108</v>
      </c>
      <c r="C51" s="136">
        <f>SUM('July 2015'!C51+'Aug 2015'!C51+'Sept 2015'!C51+'Oct. 2015'!C51+'Nov 2015'!C51+'Dec. 2015'!C51+'Jan. 2016'!C51+'Feb. 2016'!C51+'March 2016'!C51+'April 2016'!C51+'May 2016'!C51+'June 2016'!C51)</f>
        <v>21</v>
      </c>
      <c r="D51" s="136">
        <f>SUM('July 2015'!D51+'Aug 2015'!D51+'Sept 2015'!D51+'Oct. 2015'!D51+'Nov 2015'!D51+'Dec. 2015'!D51+'Jan. 2016'!D51+'Feb. 2016'!D51+'March 2016'!D51+'April 2016'!D51+'May 2016'!D51+'June 2016'!D51)</f>
        <v>0</v>
      </c>
      <c r="E51" s="136">
        <f>SUM('July 2015'!E51+'Aug 2015'!E51+'Sept 2015'!E51+'Oct. 2015'!E51+'Nov 2015'!E51+'Dec. 2015'!E51+'Jan. 2016'!E51+'Feb. 2016'!E51+'March 2016'!E51+'April 2016'!E51+'May 2016'!E51+'June 2016'!E51)</f>
        <v>56</v>
      </c>
      <c r="F51" s="136">
        <f>SUM('July 2015'!F51+'Aug 2015'!F51+'Sept 2015'!F51+'Oct. 2015'!F51+'Nov 2015'!F51+'Dec. 2015'!F51+'Jan. 2016'!F51+'Feb. 2016'!F51+'March 2016'!F51+'April 2016'!F51+'May 2016'!F51+'June 2016'!F51)</f>
        <v>110</v>
      </c>
      <c r="G51" s="136">
        <f>SUM('July 2015'!G51+'Aug 2015'!G51+'Sept 2015'!G51+'Oct. 2015'!G51+'Nov 2015'!G51+'Dec. 2015'!G51+'Jan. 2016'!G51+'Feb. 2016'!G51+'March 2016'!G51+'April 2016'!G51+'May 2016'!G51+'June 2016'!G51)</f>
        <v>33</v>
      </c>
      <c r="H51" s="136">
        <f>SUM('July 2015'!H51+'Aug 2015'!H51+'Sept 2015'!H51+'Oct. 2015'!H51+'Nov 2015'!H51+'Dec. 2015'!H51+'Jan. 2016'!H51+'Feb. 2016'!H51+'March 2016'!H51+'April 2016'!H51+'May 2016'!H51+'June 2016'!H51)</f>
        <v>8</v>
      </c>
      <c r="I51" s="136">
        <f>SUM('July 2015'!I51+'Aug 2015'!I51+'Sept 2015'!I51+'Oct. 2015'!I51+'Nov 2015'!I51+'Dec. 2015'!I51+'Jan. 2016'!I51+'Feb. 2016'!I51+'March 2016'!I51+'April 2016'!I51+'May 2016'!I51+'June 2016'!I51)</f>
        <v>0</v>
      </c>
      <c r="J51" s="136">
        <f>SUM('July 2015'!J51+'Aug 2015'!J51+'Sept 2015'!J51+'Oct. 2015'!J51+'Nov 2015'!J51+'Dec. 2015'!J51+'Jan. 2016'!J51+'Feb. 2016'!J51+'March 2016'!J51+'April 2016'!J51+'May 2016'!J51+'June 2016'!J51)</f>
        <v>124</v>
      </c>
      <c r="K51" s="136">
        <f>SUM('July 2015'!K51+'Aug 2015'!K51+'Sept 2015'!K51+'Oct. 2015'!K51+'Nov 2015'!K51+'Dec. 2015'!K51+'Jan. 2016'!K51+'Feb. 2016'!K51+'March 2016'!K51+'April 2016'!K51+'May 2016'!K51+'June 2016'!K51)</f>
        <v>3</v>
      </c>
      <c r="L51" s="4">
        <f t="shared" si="5"/>
        <v>355</v>
      </c>
    </row>
    <row r="52" spans="2:12" x14ac:dyDescent="0.2">
      <c r="B52" s="42" t="s">
        <v>144</v>
      </c>
      <c r="C52" s="136">
        <f>SUM('July 2015'!C52+'Aug 2015'!C52+'Sept 2015'!C52+'Oct. 2015'!C52+'Nov 2015'!C52+'Dec. 2015'!C52+'Jan. 2016'!C52+'Feb. 2016'!C52+'March 2016'!C52+'April 2016'!C52+'May 2016'!C52+'June 2016'!C52)</f>
        <v>0</v>
      </c>
      <c r="D52" s="136">
        <f>SUM('July 2015'!D52+'Aug 2015'!D52+'Sept 2015'!D52+'Oct. 2015'!D52+'Nov 2015'!D52+'Dec. 2015'!D52+'Jan. 2016'!D52+'Feb. 2016'!D52+'March 2016'!D52+'April 2016'!D52+'May 2016'!D52+'June 2016'!D52)</f>
        <v>15</v>
      </c>
      <c r="E52" s="136">
        <f>SUM('July 2015'!E52+'Aug 2015'!E52+'Sept 2015'!E52+'Oct. 2015'!E52+'Nov 2015'!E52+'Dec. 2015'!E52+'Jan. 2016'!E52+'Feb. 2016'!E52+'March 2016'!E52+'April 2016'!E52+'May 2016'!E52+'June 2016'!E52)</f>
        <v>1</v>
      </c>
      <c r="F52" s="136">
        <f>SUM('July 2015'!F52+'Aug 2015'!F52+'Sept 2015'!F52+'Oct. 2015'!F52+'Nov 2015'!F52+'Dec. 2015'!F52+'Jan. 2016'!F52+'Feb. 2016'!F52+'March 2016'!F52+'April 2016'!F52+'May 2016'!F52+'June 2016'!F52)</f>
        <v>4</v>
      </c>
      <c r="G52" s="136">
        <f>SUM('July 2015'!G52+'Aug 2015'!G52+'Sept 2015'!G52+'Oct. 2015'!G52+'Nov 2015'!G52+'Dec. 2015'!G52+'Jan. 2016'!G52+'Feb. 2016'!G52+'March 2016'!G52+'April 2016'!G52+'May 2016'!G52+'June 2016'!G52)</f>
        <v>0</v>
      </c>
      <c r="H52" s="136">
        <f>SUM('July 2015'!H52+'Aug 2015'!H52+'Sept 2015'!H52+'Oct. 2015'!H52+'Nov 2015'!H52+'Dec. 2015'!H52+'Jan. 2016'!H52+'Feb. 2016'!H52+'March 2016'!H52+'April 2016'!H52+'May 2016'!H52+'June 2016'!H52)</f>
        <v>0</v>
      </c>
      <c r="I52" s="136">
        <f>SUM('July 2015'!I52+'Aug 2015'!I52+'Sept 2015'!I52+'Oct. 2015'!I52+'Nov 2015'!I52+'Dec. 2015'!I52+'Jan. 2016'!I52+'Feb. 2016'!I52+'March 2016'!I52+'April 2016'!I52+'May 2016'!I52+'June 2016'!I52)</f>
        <v>0</v>
      </c>
      <c r="J52" s="136">
        <f>SUM('July 2015'!J52+'Aug 2015'!J52+'Sept 2015'!J52+'Oct. 2015'!J52+'Nov 2015'!J52+'Dec. 2015'!J52+'Jan. 2016'!J52+'Feb. 2016'!J52+'March 2016'!J52+'April 2016'!J52+'May 2016'!J52+'June 2016'!J52)</f>
        <v>13</v>
      </c>
      <c r="K52" s="136">
        <f>SUM('July 2015'!K52+'Aug 2015'!K52+'Sept 2015'!K52+'Oct. 2015'!K52+'Nov 2015'!K52+'Dec. 2015'!K52+'Jan. 2016'!K52+'Feb. 2016'!K52+'March 2016'!K52+'April 2016'!K52+'May 2016'!K52+'June 2016'!K52)</f>
        <v>11</v>
      </c>
      <c r="L52" s="4">
        <f t="shared" si="5"/>
        <v>44</v>
      </c>
    </row>
    <row r="53" spans="2:12" x14ac:dyDescent="0.2">
      <c r="B53" s="42" t="s">
        <v>159</v>
      </c>
      <c r="C53" s="136">
        <f>SUM('July 2015'!C53+'Aug 2015'!C53+'Sept 2015'!C53+'Oct. 2015'!C53+'Nov 2015'!C53+'Dec. 2015'!C53+'Jan. 2016'!C53+'Feb. 2016'!C53+'March 2016'!C53+'April 2016'!C53+'May 2016'!C53+'June 2016'!C53)</f>
        <v>38</v>
      </c>
      <c r="D53" s="136">
        <f>SUM('July 2015'!D53+'Aug 2015'!D53+'Sept 2015'!D53+'Oct. 2015'!D53+'Nov 2015'!D53+'Dec. 2015'!D53+'Jan. 2016'!D53+'Feb. 2016'!D53+'March 2016'!D53+'April 2016'!D53+'May 2016'!D53+'June 2016'!D53)</f>
        <v>28</v>
      </c>
      <c r="E53" s="136">
        <f>SUM('July 2015'!E53+'Aug 2015'!E53+'Sept 2015'!E53+'Oct. 2015'!E53+'Nov 2015'!E53+'Dec. 2015'!E53+'Jan. 2016'!E53+'Feb. 2016'!E53+'March 2016'!E53+'April 2016'!E53+'May 2016'!E53+'June 2016'!E53)</f>
        <v>29</v>
      </c>
      <c r="F53" s="136">
        <f>SUM('July 2015'!F53+'Aug 2015'!F53+'Sept 2015'!F53+'Oct. 2015'!F53+'Nov 2015'!F53+'Dec. 2015'!F53+'Jan. 2016'!F53+'Feb. 2016'!F53+'March 2016'!F53+'April 2016'!F53+'May 2016'!F53+'June 2016'!F53)</f>
        <v>41</v>
      </c>
      <c r="G53" s="136">
        <f>SUM('July 2015'!G53+'Aug 2015'!G53+'Sept 2015'!G53+'Oct. 2015'!G53+'Nov 2015'!G53+'Dec. 2015'!G53+'Jan. 2016'!G53+'Feb. 2016'!G53+'March 2016'!G53+'April 2016'!G53+'May 2016'!G53+'June 2016'!G53)</f>
        <v>39</v>
      </c>
      <c r="H53" s="136">
        <f>SUM('July 2015'!H53+'Aug 2015'!H53+'Sept 2015'!H53+'Oct. 2015'!H53+'Nov 2015'!H53+'Dec. 2015'!H53+'Jan. 2016'!H53+'Feb. 2016'!H53+'March 2016'!H53+'April 2016'!H53+'May 2016'!H53+'June 2016'!H53)</f>
        <v>6</v>
      </c>
      <c r="I53" s="136">
        <f>SUM('July 2015'!I53+'Aug 2015'!I53+'Sept 2015'!I53+'Oct. 2015'!I53+'Nov 2015'!I53+'Dec. 2015'!I53+'Jan. 2016'!I53+'Feb. 2016'!I53+'March 2016'!I53+'April 2016'!I53+'May 2016'!I53+'June 2016'!I53)</f>
        <v>3</v>
      </c>
      <c r="J53" s="136">
        <f>SUM('July 2015'!J53+'Aug 2015'!J53+'Sept 2015'!J53+'Oct. 2015'!J53+'Nov 2015'!J53+'Dec. 2015'!J53+'Jan. 2016'!J53+'Feb. 2016'!J53+'March 2016'!J53+'April 2016'!J53+'May 2016'!J53+'June 2016'!J53)</f>
        <v>118</v>
      </c>
      <c r="K53" s="136">
        <f>SUM('July 2015'!K53+'Aug 2015'!K53+'Sept 2015'!K53+'Oct. 2015'!K53+'Nov 2015'!K53+'Dec. 2015'!K53+'Jan. 2016'!K53+'Feb. 2016'!K53+'March 2016'!K53+'April 2016'!K53+'May 2016'!K53+'June 2016'!K53)</f>
        <v>67</v>
      </c>
      <c r="L53" s="4">
        <f t="shared" si="5"/>
        <v>369</v>
      </c>
    </row>
    <row r="54" spans="2:12" x14ac:dyDescent="0.2">
      <c r="B54" s="42" t="s">
        <v>109</v>
      </c>
      <c r="C54" s="136">
        <f>SUM('July 2015'!C54+'Aug 2015'!C54+'Sept 2015'!C54+'Oct. 2015'!C54+'Nov 2015'!C54+'Dec. 2015'!C54+'Jan. 2016'!C54+'Feb. 2016'!C54+'March 2016'!C54+'April 2016'!C54+'May 2016'!C54+'June 2016'!C54)</f>
        <v>18</v>
      </c>
      <c r="D54" s="136">
        <f>SUM('July 2015'!D54+'Aug 2015'!D54+'Sept 2015'!D54+'Oct. 2015'!D54+'Nov 2015'!D54+'Dec. 2015'!D54+'Jan. 2016'!D54+'Feb. 2016'!D54+'March 2016'!D54+'April 2016'!D54+'May 2016'!D54+'June 2016'!D54)</f>
        <v>1</v>
      </c>
      <c r="E54" s="136">
        <f>SUM('July 2015'!E54+'Aug 2015'!E54+'Sept 2015'!E54+'Oct. 2015'!E54+'Nov 2015'!E54+'Dec. 2015'!E54+'Jan. 2016'!E54+'Feb. 2016'!E54+'March 2016'!E54+'April 2016'!E54+'May 2016'!E54+'June 2016'!E54)</f>
        <v>75</v>
      </c>
      <c r="F54" s="136">
        <f>SUM('July 2015'!F54+'Aug 2015'!F54+'Sept 2015'!F54+'Oct. 2015'!F54+'Nov 2015'!F54+'Dec. 2015'!F54+'Jan. 2016'!F54+'Feb. 2016'!F54+'March 2016'!F54+'April 2016'!F54+'May 2016'!F54+'June 2016'!F54)</f>
        <v>51</v>
      </c>
      <c r="G54" s="136">
        <f>SUM('July 2015'!G54+'Aug 2015'!G54+'Sept 2015'!G54+'Oct. 2015'!G54+'Nov 2015'!G54+'Dec. 2015'!G54+'Jan. 2016'!G54+'Feb. 2016'!G54+'March 2016'!G54+'April 2016'!G54+'May 2016'!G54+'June 2016'!G54)</f>
        <v>28</v>
      </c>
      <c r="H54" s="136">
        <f>SUM('July 2015'!H54+'Aug 2015'!H54+'Sept 2015'!H54+'Oct. 2015'!H54+'Nov 2015'!H54+'Dec. 2015'!H54+'Jan. 2016'!H54+'Feb. 2016'!H54+'March 2016'!H54+'April 2016'!H54+'May 2016'!H54+'June 2016'!H54)</f>
        <v>0</v>
      </c>
      <c r="I54" s="136">
        <f>SUM('July 2015'!I54+'Aug 2015'!I54+'Sept 2015'!I54+'Oct. 2015'!I54+'Nov 2015'!I54+'Dec. 2015'!I54+'Jan. 2016'!I54+'Feb. 2016'!I54+'March 2016'!I54+'April 2016'!I54+'May 2016'!I54+'June 2016'!I54)</f>
        <v>1</v>
      </c>
      <c r="J54" s="136">
        <f>SUM('July 2015'!J54+'Aug 2015'!J54+'Sept 2015'!J54+'Oct. 2015'!J54+'Nov 2015'!J54+'Dec. 2015'!J54+'Jan. 2016'!J54+'Feb. 2016'!J54+'March 2016'!J54+'April 2016'!J54+'May 2016'!J54+'June 2016'!J54)</f>
        <v>22</v>
      </c>
      <c r="K54" s="136">
        <f>SUM('July 2015'!K54+'Aug 2015'!K54+'Sept 2015'!K54+'Oct. 2015'!K54+'Nov 2015'!K54+'Dec. 2015'!K54+'Jan. 2016'!K54+'Feb. 2016'!K54+'March 2016'!K54+'April 2016'!K54+'May 2016'!K54+'June 2016'!K54)</f>
        <v>5</v>
      </c>
      <c r="L54" s="4">
        <f t="shared" si="5"/>
        <v>201</v>
      </c>
    </row>
    <row r="55" spans="2:12" x14ac:dyDescent="0.2">
      <c r="B55" s="42" t="s">
        <v>160</v>
      </c>
      <c r="C55" s="136">
        <f>SUM('July 2015'!C55+'Aug 2015'!C55+'Sept 2015'!C55+'Oct. 2015'!C55+'Nov 2015'!C55+'Dec. 2015'!C55+'Jan. 2016'!C55+'Feb. 2016'!C55+'March 2016'!C55+'April 2016'!C55+'May 2016'!C55+'June 2016'!C55)</f>
        <v>0</v>
      </c>
      <c r="D55" s="136">
        <f>SUM('July 2015'!D55+'Aug 2015'!D55+'Sept 2015'!D55+'Oct. 2015'!D55+'Nov 2015'!D55+'Dec. 2015'!D55+'Jan. 2016'!D55+'Feb. 2016'!D55+'March 2016'!D55+'April 2016'!D55+'May 2016'!D55+'June 2016'!D55)</f>
        <v>0</v>
      </c>
      <c r="E55" s="136">
        <f>SUM('July 2015'!E55+'Aug 2015'!E55+'Sept 2015'!E55+'Oct. 2015'!E55+'Nov 2015'!E55+'Dec. 2015'!E55+'Jan. 2016'!E55+'Feb. 2016'!E55+'March 2016'!E55+'April 2016'!E55+'May 2016'!E55+'June 2016'!E55)</f>
        <v>0</v>
      </c>
      <c r="F55" s="136">
        <f>SUM('July 2015'!F55+'Aug 2015'!F55+'Sept 2015'!F55+'Oct. 2015'!F55+'Nov 2015'!F55+'Dec. 2015'!F55+'Jan. 2016'!F55+'Feb. 2016'!F55+'March 2016'!F55+'April 2016'!F55+'May 2016'!F55+'June 2016'!F55)</f>
        <v>0</v>
      </c>
      <c r="G55" s="136">
        <f>SUM('July 2015'!G55+'Aug 2015'!G55+'Sept 2015'!G55+'Oct. 2015'!G55+'Nov 2015'!G55+'Dec. 2015'!G55+'Jan. 2016'!G55+'Feb. 2016'!G55+'March 2016'!G55+'April 2016'!G55+'May 2016'!G55+'June 2016'!G55)</f>
        <v>0</v>
      </c>
      <c r="H55" s="136">
        <f>SUM('July 2015'!H55+'Aug 2015'!H55+'Sept 2015'!H55+'Oct. 2015'!H55+'Nov 2015'!H55+'Dec. 2015'!H55+'Jan. 2016'!H55+'Feb. 2016'!H55+'March 2016'!H55+'April 2016'!H55+'May 2016'!H55+'June 2016'!H55)</f>
        <v>0</v>
      </c>
      <c r="I55" s="136">
        <f>SUM('July 2015'!I55+'Aug 2015'!I55+'Sept 2015'!I55+'Oct. 2015'!I55+'Nov 2015'!I55+'Dec. 2015'!I55+'Jan. 2016'!I55+'Feb. 2016'!I55+'March 2016'!I55+'April 2016'!I55+'May 2016'!I55+'June 2016'!I55)</f>
        <v>0</v>
      </c>
      <c r="J55" s="136">
        <f>SUM('July 2015'!J55+'Aug 2015'!J55+'Sept 2015'!J55+'Oct. 2015'!J55+'Nov 2015'!J55+'Dec. 2015'!J55+'Jan. 2016'!J55+'Feb. 2016'!J55+'March 2016'!J55+'April 2016'!J55+'May 2016'!J55+'June 2016'!J55)</f>
        <v>0</v>
      </c>
      <c r="K55" s="136">
        <f>SUM('July 2015'!K55+'Aug 2015'!K55+'Sept 2015'!K55+'Oct. 2015'!K55+'Nov 2015'!K55+'Dec. 2015'!K55+'Jan. 2016'!K55+'Feb. 2016'!K55+'March 2016'!K55+'April 2016'!K55+'May 2016'!K55+'June 2016'!K55)</f>
        <v>0</v>
      </c>
      <c r="L55" s="4">
        <f t="shared" si="5"/>
        <v>0</v>
      </c>
    </row>
    <row r="56" spans="2:12" x14ac:dyDescent="0.2">
      <c r="B56" s="42" t="s">
        <v>93</v>
      </c>
      <c r="C56" s="136">
        <f>SUM('July 2015'!C56+'Aug 2015'!C56+'Sept 2015'!C56+'Oct. 2015'!C56+'Nov 2015'!C56+'Dec. 2015'!C56+'Jan. 2016'!C56+'Feb. 2016'!C56+'March 2016'!C56+'April 2016'!C56+'May 2016'!C56+'June 2016'!C56)</f>
        <v>13</v>
      </c>
      <c r="D56" s="136">
        <f>SUM('July 2015'!D56+'Aug 2015'!D56+'Sept 2015'!D56+'Oct. 2015'!D56+'Nov 2015'!D56+'Dec. 2015'!D56+'Jan. 2016'!D56+'Feb. 2016'!D56+'March 2016'!D56+'April 2016'!D56+'May 2016'!D56+'June 2016'!D56)</f>
        <v>7</v>
      </c>
      <c r="E56" s="136">
        <f>SUM('July 2015'!E56+'Aug 2015'!E56+'Sept 2015'!E56+'Oct. 2015'!E56+'Nov 2015'!E56+'Dec. 2015'!E56+'Jan. 2016'!E56+'Feb. 2016'!E56+'March 2016'!E56+'April 2016'!E56+'May 2016'!E56+'June 2016'!E56)</f>
        <v>15</v>
      </c>
      <c r="F56" s="136">
        <f>SUM('July 2015'!F56+'Aug 2015'!F56+'Sept 2015'!F56+'Oct. 2015'!F56+'Nov 2015'!F56+'Dec. 2015'!F56+'Jan. 2016'!F56+'Feb. 2016'!F56+'March 2016'!F56+'April 2016'!F56+'May 2016'!F56+'June 2016'!F56)</f>
        <v>11</v>
      </c>
      <c r="G56" s="136">
        <f>SUM('July 2015'!G56+'Aug 2015'!G56+'Sept 2015'!G56+'Oct. 2015'!G56+'Nov 2015'!G56+'Dec. 2015'!G56+'Jan. 2016'!G56+'Feb. 2016'!G56+'March 2016'!G56+'April 2016'!G56+'May 2016'!G56+'June 2016'!G56)</f>
        <v>0</v>
      </c>
      <c r="H56" s="136">
        <f>SUM('July 2015'!H56+'Aug 2015'!H56+'Sept 2015'!H56+'Oct. 2015'!H56+'Nov 2015'!H56+'Dec. 2015'!H56+'Jan. 2016'!H56+'Feb. 2016'!H56+'March 2016'!H56+'April 2016'!H56+'May 2016'!H56+'June 2016'!H56)</f>
        <v>2</v>
      </c>
      <c r="I56" s="136">
        <f>SUM('July 2015'!I56+'Aug 2015'!I56+'Sept 2015'!I56+'Oct. 2015'!I56+'Nov 2015'!I56+'Dec. 2015'!I56+'Jan. 2016'!I56+'Feb. 2016'!I56+'March 2016'!I56+'April 2016'!I56+'May 2016'!I56+'June 2016'!I56)</f>
        <v>0</v>
      </c>
      <c r="J56" s="136">
        <f>SUM('July 2015'!J56+'Aug 2015'!J56+'Sept 2015'!J56+'Oct. 2015'!J56+'Nov 2015'!J56+'Dec. 2015'!J56+'Jan. 2016'!J56+'Feb. 2016'!J56+'March 2016'!J56+'April 2016'!J56+'May 2016'!J56+'June 2016'!J56)</f>
        <v>14</v>
      </c>
      <c r="K56" s="136">
        <f>SUM('July 2015'!K56+'Aug 2015'!K56+'Sept 2015'!K56+'Oct. 2015'!K56+'Nov 2015'!K56+'Dec. 2015'!K56+'Jan. 2016'!K56+'Feb. 2016'!K56+'March 2016'!K56+'April 2016'!K56+'May 2016'!K56+'June 2016'!K56)</f>
        <v>6</v>
      </c>
      <c r="L56" s="4">
        <f t="shared" si="5"/>
        <v>68</v>
      </c>
    </row>
    <row r="57" spans="2:12" x14ac:dyDescent="0.2">
      <c r="B57" s="42" t="s">
        <v>130</v>
      </c>
      <c r="C57" s="136">
        <f>SUM('July 2015'!C57+'Aug 2015'!C57+'Sept 2015'!C57+'Oct. 2015'!C57+'Nov 2015'!C57+'Dec. 2015'!C57+'Jan. 2016'!C57+'Feb. 2016'!C57+'March 2016'!C57+'April 2016'!C57+'May 2016'!C57+'June 2016'!C57)</f>
        <v>0</v>
      </c>
      <c r="D57" s="136">
        <f>SUM('July 2015'!D57+'Aug 2015'!D57+'Sept 2015'!D57+'Oct. 2015'!D57+'Nov 2015'!D57+'Dec. 2015'!D57+'Jan. 2016'!D57+'Feb. 2016'!D57+'March 2016'!D57+'April 2016'!D57+'May 2016'!D57+'June 2016'!D57)</f>
        <v>0</v>
      </c>
      <c r="E57" s="136">
        <f>SUM('July 2015'!E57+'Aug 2015'!E57+'Sept 2015'!E57+'Oct. 2015'!E57+'Nov 2015'!E57+'Dec. 2015'!E57+'Jan. 2016'!E57+'Feb. 2016'!E57+'March 2016'!E57+'April 2016'!E57+'May 2016'!E57+'June 2016'!E57)</f>
        <v>0</v>
      </c>
      <c r="F57" s="136">
        <f>SUM('July 2015'!F57+'Aug 2015'!F57+'Sept 2015'!F57+'Oct. 2015'!F57+'Nov 2015'!F57+'Dec. 2015'!F57+'Jan. 2016'!F57+'Feb. 2016'!F57+'March 2016'!F57+'April 2016'!F57+'May 2016'!F57+'June 2016'!F57)</f>
        <v>2</v>
      </c>
      <c r="G57" s="136">
        <f>SUM('July 2015'!G57+'Aug 2015'!G57+'Sept 2015'!G57+'Oct. 2015'!G57+'Nov 2015'!G57+'Dec. 2015'!G57+'Jan. 2016'!G57+'Feb. 2016'!G57+'March 2016'!G57+'April 2016'!G57+'May 2016'!G57+'June 2016'!G57)</f>
        <v>6</v>
      </c>
      <c r="H57" s="136">
        <f>SUM('July 2015'!H57+'Aug 2015'!H57+'Sept 2015'!H57+'Oct. 2015'!H57+'Nov 2015'!H57+'Dec. 2015'!H57+'Jan. 2016'!H57+'Feb. 2016'!H57+'March 2016'!H57+'April 2016'!H57+'May 2016'!H57+'June 2016'!H57)</f>
        <v>0</v>
      </c>
      <c r="I57" s="136">
        <f>SUM('July 2015'!I57+'Aug 2015'!I57+'Sept 2015'!I57+'Oct. 2015'!I57+'Nov 2015'!I57+'Dec. 2015'!I57+'Jan. 2016'!I57+'Feb. 2016'!I57+'March 2016'!I57+'April 2016'!I57+'May 2016'!I57+'June 2016'!I57)</f>
        <v>0</v>
      </c>
      <c r="J57" s="136">
        <f>SUM('July 2015'!J57+'Aug 2015'!J57+'Sept 2015'!J57+'Oct. 2015'!J57+'Nov 2015'!J57+'Dec. 2015'!J57+'Jan. 2016'!J57+'Feb. 2016'!J57+'March 2016'!J57+'April 2016'!J57+'May 2016'!J57+'June 2016'!J57)</f>
        <v>8</v>
      </c>
      <c r="K57" s="136">
        <f>SUM('July 2015'!K57+'Aug 2015'!K57+'Sept 2015'!K57+'Oct. 2015'!K57+'Nov 2015'!K57+'Dec. 2015'!K57+'Jan. 2016'!K57+'Feb. 2016'!K57+'March 2016'!K57+'April 2016'!K57+'May 2016'!K57+'June 2016'!K57)</f>
        <v>1</v>
      </c>
      <c r="L57" s="4">
        <f t="shared" si="5"/>
        <v>17</v>
      </c>
    </row>
    <row r="58" spans="2:12" x14ac:dyDescent="0.2">
      <c r="B58" s="42" t="s">
        <v>107</v>
      </c>
      <c r="C58" s="136">
        <f>SUM('July 2015'!C58+'Aug 2015'!C58+'Sept 2015'!C58+'Oct. 2015'!C58+'Nov 2015'!C58+'Dec. 2015'!C58+'Jan. 2016'!C58+'Feb. 2016'!C58+'March 2016'!C58+'April 2016'!C58+'May 2016'!C58+'June 2016'!C58)</f>
        <v>7</v>
      </c>
      <c r="D58" s="136">
        <f>SUM('July 2015'!D58+'Aug 2015'!D58+'Sept 2015'!D58+'Oct. 2015'!D58+'Nov 2015'!D58+'Dec. 2015'!D58+'Jan. 2016'!D58+'Feb. 2016'!D58+'March 2016'!D58+'April 2016'!D58+'May 2016'!D58+'June 2016'!D58)</f>
        <v>8</v>
      </c>
      <c r="E58" s="136">
        <f>SUM('July 2015'!E58+'Aug 2015'!E58+'Sept 2015'!E58+'Oct. 2015'!E58+'Nov 2015'!E58+'Dec. 2015'!E58+'Jan. 2016'!E58+'Feb. 2016'!E58+'March 2016'!E58+'April 2016'!E58+'May 2016'!E58+'June 2016'!E58)</f>
        <v>9</v>
      </c>
      <c r="F58" s="136">
        <f>SUM('July 2015'!F58+'Aug 2015'!F58+'Sept 2015'!F58+'Oct. 2015'!F58+'Nov 2015'!F58+'Dec. 2015'!F58+'Jan. 2016'!F58+'Feb. 2016'!F58+'March 2016'!F58+'April 2016'!F58+'May 2016'!F58+'June 2016'!F58)</f>
        <v>34</v>
      </c>
      <c r="G58" s="136">
        <f>SUM('July 2015'!G58+'Aug 2015'!G58+'Sept 2015'!G58+'Oct. 2015'!G58+'Nov 2015'!G58+'Dec. 2015'!G58+'Jan. 2016'!G58+'Feb. 2016'!G58+'March 2016'!G58+'April 2016'!G58+'May 2016'!G58+'June 2016'!G58)</f>
        <v>3</v>
      </c>
      <c r="H58" s="136">
        <f>SUM('July 2015'!H58+'Aug 2015'!H58+'Sept 2015'!H58+'Oct. 2015'!H58+'Nov 2015'!H58+'Dec. 2015'!H58+'Jan. 2016'!H58+'Feb. 2016'!H58+'March 2016'!H58+'April 2016'!H58+'May 2016'!H58+'June 2016'!H58)</f>
        <v>0</v>
      </c>
      <c r="I58" s="136">
        <f>SUM('July 2015'!I58+'Aug 2015'!I58+'Sept 2015'!I58+'Oct. 2015'!I58+'Nov 2015'!I58+'Dec. 2015'!I58+'Jan. 2016'!I58+'Feb. 2016'!I58+'March 2016'!I58+'April 2016'!I58+'May 2016'!I58+'June 2016'!I58)</f>
        <v>1</v>
      </c>
      <c r="J58" s="136">
        <f>SUM('July 2015'!J58+'Aug 2015'!J58+'Sept 2015'!J58+'Oct. 2015'!J58+'Nov 2015'!J58+'Dec. 2015'!J58+'Jan. 2016'!J58+'Feb. 2016'!J58+'March 2016'!J58+'April 2016'!J58+'May 2016'!J58+'June 2016'!J58)</f>
        <v>16</v>
      </c>
      <c r="K58" s="136">
        <f>SUM('July 2015'!K58+'Aug 2015'!K58+'Sept 2015'!K58+'Oct. 2015'!K58+'Nov 2015'!K58+'Dec. 2015'!K58+'Jan. 2016'!K58+'Feb. 2016'!K58+'March 2016'!K58+'April 2016'!K58+'May 2016'!K58+'June 2016'!K58)</f>
        <v>13</v>
      </c>
      <c r="L58" s="4">
        <f t="shared" si="5"/>
        <v>91</v>
      </c>
    </row>
    <row r="59" spans="2:12" x14ac:dyDescent="0.2">
      <c r="B59" s="42" t="s">
        <v>110</v>
      </c>
      <c r="C59" s="136">
        <f>SUM('July 2015'!C59+'Aug 2015'!C59+'Sept 2015'!C59+'Oct. 2015'!C59+'Nov 2015'!C59+'Dec. 2015'!C59+'Jan. 2016'!C59+'Feb. 2016'!C59+'March 2016'!C59+'April 2016'!C59+'May 2016'!C59+'June 2016'!C59)</f>
        <v>18</v>
      </c>
      <c r="D59" s="136">
        <f>SUM('July 2015'!D59+'Aug 2015'!D59+'Sept 2015'!D59+'Oct. 2015'!D59+'Nov 2015'!D59+'Dec. 2015'!D59+'Jan. 2016'!D59+'Feb. 2016'!D59+'March 2016'!D59+'April 2016'!D59+'May 2016'!D59+'June 2016'!D59)</f>
        <v>10</v>
      </c>
      <c r="E59" s="136">
        <f>SUM('July 2015'!E59+'Aug 2015'!E59+'Sept 2015'!E59+'Oct. 2015'!E59+'Nov 2015'!E59+'Dec. 2015'!E59+'Jan. 2016'!E59+'Feb. 2016'!E59+'March 2016'!E59+'April 2016'!E59+'May 2016'!E59+'June 2016'!E59)</f>
        <v>26</v>
      </c>
      <c r="F59" s="136">
        <f>SUM('July 2015'!F59+'Aug 2015'!F59+'Sept 2015'!F59+'Oct. 2015'!F59+'Nov 2015'!F59+'Dec. 2015'!F59+'Jan. 2016'!F59+'Feb. 2016'!F59+'March 2016'!F59+'April 2016'!F59+'May 2016'!F59+'June 2016'!F59)</f>
        <v>69</v>
      </c>
      <c r="G59" s="136">
        <f>SUM('July 2015'!G59+'Aug 2015'!G59+'Sept 2015'!G59+'Oct. 2015'!G59+'Nov 2015'!G59+'Dec. 2015'!G59+'Jan. 2016'!G59+'Feb. 2016'!G59+'March 2016'!G59+'April 2016'!G59+'May 2016'!G59+'June 2016'!G59)</f>
        <v>21</v>
      </c>
      <c r="H59" s="136">
        <f>SUM('July 2015'!H59+'Aug 2015'!H59+'Sept 2015'!H59+'Oct. 2015'!H59+'Nov 2015'!H59+'Dec. 2015'!H59+'Jan. 2016'!H59+'Feb. 2016'!H59+'March 2016'!H59+'April 2016'!H59+'May 2016'!H59+'June 2016'!H59)</f>
        <v>5</v>
      </c>
      <c r="I59" s="136">
        <f>SUM('July 2015'!I59+'Aug 2015'!I59+'Sept 2015'!I59+'Oct. 2015'!I59+'Nov 2015'!I59+'Dec. 2015'!I59+'Jan. 2016'!I59+'Feb. 2016'!I59+'March 2016'!I59+'April 2016'!I59+'May 2016'!I59+'June 2016'!I59)</f>
        <v>21</v>
      </c>
      <c r="J59" s="136">
        <f>SUM('July 2015'!J59+'Aug 2015'!J59+'Sept 2015'!J59+'Oct. 2015'!J59+'Nov 2015'!J59+'Dec. 2015'!J59+'Jan. 2016'!J59+'Feb. 2016'!J59+'March 2016'!J59+'April 2016'!J59+'May 2016'!J59+'June 2016'!J59)</f>
        <v>125</v>
      </c>
      <c r="K59" s="136">
        <f>SUM('July 2015'!K59+'Aug 2015'!K59+'Sept 2015'!K59+'Oct. 2015'!K59+'Nov 2015'!K59+'Dec. 2015'!K59+'Jan. 2016'!K59+'Feb. 2016'!K59+'March 2016'!K59+'April 2016'!K59+'May 2016'!K59+'June 2016'!K59)</f>
        <v>39</v>
      </c>
      <c r="L59" s="4">
        <f t="shared" si="5"/>
        <v>334</v>
      </c>
    </row>
    <row r="60" spans="2:12" x14ac:dyDescent="0.2">
      <c r="B60" s="42" t="s">
        <v>95</v>
      </c>
      <c r="C60" s="136">
        <f>SUM('July 2015'!C60+'Aug 2015'!C60+'Sept 2015'!C60+'Oct. 2015'!C60+'Nov 2015'!C60+'Dec. 2015'!C60+'Jan. 2016'!C60+'Feb. 2016'!C60+'March 2016'!C60+'April 2016'!C60+'May 2016'!C60+'June 2016'!C60)</f>
        <v>5</v>
      </c>
      <c r="D60" s="136">
        <f>SUM('July 2015'!D60+'Aug 2015'!D60+'Sept 2015'!D60+'Oct. 2015'!D60+'Nov 2015'!D60+'Dec. 2015'!D60+'Jan. 2016'!D60+'Feb. 2016'!D60+'March 2016'!D60+'April 2016'!D60+'May 2016'!D60+'June 2016'!D60)</f>
        <v>0</v>
      </c>
      <c r="E60" s="136">
        <f>SUM('July 2015'!E60+'Aug 2015'!E60+'Sept 2015'!E60+'Oct. 2015'!E60+'Nov 2015'!E60+'Dec. 2015'!E60+'Jan. 2016'!E60+'Feb. 2016'!E60+'March 2016'!E60+'April 2016'!E60+'May 2016'!E60+'June 2016'!E60)</f>
        <v>6</v>
      </c>
      <c r="F60" s="136">
        <f>SUM('July 2015'!F60+'Aug 2015'!F60+'Sept 2015'!F60+'Oct. 2015'!F60+'Nov 2015'!F60+'Dec. 2015'!F60+'Jan. 2016'!F60+'Feb. 2016'!F60+'March 2016'!F60+'April 2016'!F60+'May 2016'!F60+'June 2016'!F60)</f>
        <v>13</v>
      </c>
      <c r="G60" s="136">
        <f>SUM('July 2015'!G60+'Aug 2015'!G60+'Sept 2015'!G60+'Oct. 2015'!G60+'Nov 2015'!G60+'Dec. 2015'!G60+'Jan. 2016'!G60+'Feb. 2016'!G60+'March 2016'!G60+'April 2016'!G60+'May 2016'!G60+'June 2016'!G60)</f>
        <v>2</v>
      </c>
      <c r="H60" s="136">
        <f>SUM('July 2015'!H60+'Aug 2015'!H60+'Sept 2015'!H60+'Oct. 2015'!H60+'Nov 2015'!H60+'Dec. 2015'!H60+'Jan. 2016'!H60+'Feb. 2016'!H60+'March 2016'!H60+'April 2016'!H60+'May 2016'!H60+'June 2016'!H60)</f>
        <v>0</v>
      </c>
      <c r="I60" s="136">
        <f>SUM('July 2015'!I60+'Aug 2015'!I60+'Sept 2015'!I60+'Oct. 2015'!I60+'Nov 2015'!I60+'Dec. 2015'!I60+'Jan. 2016'!I60+'Feb. 2016'!I60+'March 2016'!I60+'April 2016'!I60+'May 2016'!I60+'June 2016'!I60)</f>
        <v>2</v>
      </c>
      <c r="J60" s="136">
        <f>SUM('July 2015'!J60+'Aug 2015'!J60+'Sept 2015'!J60+'Oct. 2015'!J60+'Nov 2015'!J60+'Dec. 2015'!J60+'Jan. 2016'!J60+'Feb. 2016'!J60+'March 2016'!J60+'April 2016'!J60+'May 2016'!J60+'June 2016'!J60)</f>
        <v>17</v>
      </c>
      <c r="K60" s="136">
        <f>SUM('July 2015'!K60+'Aug 2015'!K60+'Sept 2015'!K60+'Oct. 2015'!K60+'Nov 2015'!K60+'Dec. 2015'!K60+'Jan. 2016'!K60+'Feb. 2016'!K60+'March 2016'!K60+'April 2016'!K60+'May 2016'!K60+'June 2016'!K60)</f>
        <v>11</v>
      </c>
      <c r="L60" s="4">
        <f t="shared" si="5"/>
        <v>56</v>
      </c>
    </row>
    <row r="61" spans="2:12" x14ac:dyDescent="0.2">
      <c r="B61" s="38" t="s">
        <v>42</v>
      </c>
      <c r="C61" s="136">
        <f>SUM('July 2015'!C61+'Aug 2015'!C61+'Sept 2015'!C61+'Oct. 2015'!C61+'Nov 2015'!C61+'Dec. 2015'!C61+'Jan. 2016'!C61+'Feb. 2016'!C61+'March 2016'!C61+'April 2016'!C61+'May 2016'!C61+'June 2016'!C61)</f>
        <v>30</v>
      </c>
      <c r="D61" s="136">
        <f>SUM('July 2015'!D61+'Aug 2015'!D61+'Sept 2015'!D61+'Oct. 2015'!D61+'Nov 2015'!D61+'Dec. 2015'!D61+'Jan. 2016'!D61+'Feb. 2016'!D61+'March 2016'!D61+'April 2016'!D61+'May 2016'!D61+'June 2016'!D61)</f>
        <v>33</v>
      </c>
      <c r="E61" s="136">
        <f>SUM('July 2015'!E61+'Aug 2015'!E61+'Sept 2015'!E61+'Oct. 2015'!E61+'Nov 2015'!E61+'Dec. 2015'!E61+'Jan. 2016'!E61+'Feb. 2016'!E61+'March 2016'!E61+'April 2016'!E61+'May 2016'!E61+'June 2016'!E61)</f>
        <v>114</v>
      </c>
      <c r="F61" s="136">
        <f>SUM('July 2015'!F61+'Aug 2015'!F61+'Sept 2015'!F61+'Oct. 2015'!F61+'Nov 2015'!F61+'Dec. 2015'!F61+'Jan. 2016'!F61+'Feb. 2016'!F61+'March 2016'!F61+'April 2016'!F61+'May 2016'!F61+'June 2016'!F61)</f>
        <v>122</v>
      </c>
      <c r="G61" s="136">
        <f>SUM('July 2015'!G61+'Aug 2015'!G61+'Sept 2015'!G61+'Oct. 2015'!G61+'Nov 2015'!G61+'Dec. 2015'!G61+'Jan. 2016'!G61+'Feb. 2016'!G61+'March 2016'!G61+'April 2016'!G61+'May 2016'!G61+'June 2016'!G61)</f>
        <v>103</v>
      </c>
      <c r="H61" s="136">
        <f>SUM('July 2015'!H61+'Aug 2015'!H61+'Sept 2015'!H61+'Oct. 2015'!H61+'Nov 2015'!H61+'Dec. 2015'!H61+'Jan. 2016'!H61+'Feb. 2016'!H61+'March 2016'!H61+'April 2016'!H61+'May 2016'!H61+'June 2016'!H61)</f>
        <v>53</v>
      </c>
      <c r="I61" s="136">
        <f>SUM('July 2015'!I61+'Aug 2015'!I61+'Sept 2015'!I61+'Oct. 2015'!I61+'Nov 2015'!I61+'Dec. 2015'!I61+'Jan. 2016'!I61+'Feb. 2016'!I61+'March 2016'!I61+'April 2016'!I61+'May 2016'!I61+'June 2016'!I61)</f>
        <v>88</v>
      </c>
      <c r="J61" s="136">
        <f>SUM('July 2015'!J61+'Aug 2015'!J61+'Sept 2015'!J61+'Oct. 2015'!J61+'Nov 2015'!J61+'Dec. 2015'!J61+'Jan. 2016'!J61+'Feb. 2016'!J61+'March 2016'!J61+'April 2016'!J61+'May 2016'!J61+'June 2016'!J61)</f>
        <v>183</v>
      </c>
      <c r="K61" s="136">
        <f>SUM('July 2015'!K61+'Aug 2015'!K61+'Sept 2015'!K61+'Oct. 2015'!K61+'Nov 2015'!K61+'Dec. 2015'!K61+'Jan. 2016'!K61+'Feb. 2016'!K61+'March 2016'!K61+'April 2016'!K61+'May 2016'!K61+'June 2016'!K61)</f>
        <v>61</v>
      </c>
      <c r="L61" s="4">
        <f t="shared" si="5"/>
        <v>787</v>
      </c>
    </row>
    <row r="62" spans="2:12" x14ac:dyDescent="0.2">
      <c r="B62" s="38" t="s">
        <v>41</v>
      </c>
      <c r="C62" s="136">
        <f>SUM('July 2015'!C62+'Aug 2015'!C62+'Sept 2015'!C62+'Oct. 2015'!C62+'Nov 2015'!C62+'Dec. 2015'!C62+'Jan. 2016'!C62+'Feb. 2016'!C62+'March 2016'!C62+'April 2016'!C62+'May 2016'!C62+'June 2016'!C62)</f>
        <v>0</v>
      </c>
      <c r="D62" s="136">
        <f>SUM('July 2015'!D62+'Aug 2015'!D62+'Sept 2015'!D62+'Oct. 2015'!D62+'Nov 2015'!D62+'Dec. 2015'!D62+'Jan. 2016'!D62+'Feb. 2016'!D62+'March 2016'!D62+'April 2016'!D62+'May 2016'!D62+'June 2016'!D62)</f>
        <v>0</v>
      </c>
      <c r="E62" s="136">
        <f>SUM('July 2015'!E62+'Aug 2015'!E62+'Sept 2015'!E62+'Oct. 2015'!E62+'Nov 2015'!E62+'Dec. 2015'!E62+'Jan. 2016'!E62+'Feb. 2016'!E62+'March 2016'!E62+'April 2016'!E62+'May 2016'!E62+'June 2016'!E62)</f>
        <v>0</v>
      </c>
      <c r="F62" s="136">
        <f>SUM('July 2015'!F62+'Aug 2015'!F62+'Sept 2015'!F62+'Oct. 2015'!F62+'Nov 2015'!F62+'Dec. 2015'!F62+'Jan. 2016'!F62+'Feb. 2016'!F62+'March 2016'!F62+'April 2016'!F62+'May 2016'!F62+'June 2016'!F62)</f>
        <v>0</v>
      </c>
      <c r="G62" s="136">
        <f>SUM('July 2015'!G62+'Aug 2015'!G62+'Sept 2015'!G62+'Oct. 2015'!G62+'Nov 2015'!G62+'Dec. 2015'!G62+'Jan. 2016'!G62+'Feb. 2016'!G62+'March 2016'!G62+'April 2016'!G62+'May 2016'!G62+'June 2016'!G62)</f>
        <v>0</v>
      </c>
      <c r="H62" s="136">
        <f>SUM('July 2015'!H62+'Aug 2015'!H62+'Sept 2015'!H62+'Oct. 2015'!H62+'Nov 2015'!H62+'Dec. 2015'!H62+'Jan. 2016'!H62+'Feb. 2016'!H62+'March 2016'!H62+'April 2016'!H62+'May 2016'!H62+'June 2016'!H62)</f>
        <v>0</v>
      </c>
      <c r="I62" s="136">
        <f>SUM('July 2015'!I62+'Aug 2015'!I62+'Sept 2015'!I62+'Oct. 2015'!I62+'Nov 2015'!I62+'Dec. 2015'!I62+'Jan. 2016'!I62+'Feb. 2016'!I62+'March 2016'!I62+'April 2016'!I62+'May 2016'!I62+'June 2016'!I62)</f>
        <v>0</v>
      </c>
      <c r="J62" s="136">
        <f>SUM('July 2015'!J62+'Aug 2015'!J62+'Sept 2015'!J62+'Oct. 2015'!J62+'Nov 2015'!J62+'Dec. 2015'!J62+'Jan. 2016'!J62+'Feb. 2016'!J62+'March 2016'!J62+'April 2016'!J62+'May 2016'!J62+'June 2016'!J62)</f>
        <v>1</v>
      </c>
      <c r="K62" s="136">
        <f>SUM('July 2015'!K62+'Aug 2015'!K62+'Sept 2015'!K62+'Oct. 2015'!K62+'Nov 2015'!K62+'Dec. 2015'!K62+'Jan. 2016'!K62+'Feb. 2016'!K62+'March 2016'!K62+'April 2016'!K62+'May 2016'!K62+'June 2016'!K62)</f>
        <v>0</v>
      </c>
      <c r="L62" s="4">
        <f t="shared" si="5"/>
        <v>1</v>
      </c>
    </row>
    <row r="63" spans="2:12" x14ac:dyDescent="0.2">
      <c r="B63" s="38" t="s">
        <v>135</v>
      </c>
      <c r="C63" s="136">
        <f>SUM('July 2015'!C63+'Aug 2015'!C63+'Sept 2015'!C63+'Oct. 2015'!C63+'Nov 2015'!C63+'Dec. 2015'!C63+'Jan. 2016'!C63+'Feb. 2016'!C63+'March 2016'!C63+'April 2016'!C63+'May 2016'!C63+'June 2016'!C63)</f>
        <v>0</v>
      </c>
      <c r="D63" s="136">
        <f>SUM('July 2015'!D63+'Aug 2015'!D63+'Sept 2015'!D63+'Oct. 2015'!D63+'Nov 2015'!D63+'Dec. 2015'!D63+'Jan. 2016'!D63+'Feb. 2016'!D63+'March 2016'!D63+'April 2016'!D63+'May 2016'!D63+'June 2016'!D63)</f>
        <v>0</v>
      </c>
      <c r="E63" s="136">
        <f>SUM('July 2015'!E63+'Aug 2015'!E63+'Sept 2015'!E63+'Oct. 2015'!E63+'Nov 2015'!E63+'Dec. 2015'!E63+'Jan. 2016'!E63+'Feb. 2016'!E63+'March 2016'!E63+'April 2016'!E63+'May 2016'!E63+'June 2016'!E63)</f>
        <v>0</v>
      </c>
      <c r="F63" s="136">
        <f>SUM('July 2015'!F63+'Aug 2015'!F63+'Sept 2015'!F63+'Oct. 2015'!F63+'Nov 2015'!F63+'Dec. 2015'!F63+'Jan. 2016'!F63+'Feb. 2016'!F63+'March 2016'!F63+'April 2016'!F63+'May 2016'!F63+'June 2016'!F63)</f>
        <v>0</v>
      </c>
      <c r="G63" s="136">
        <f>SUM('July 2015'!G63+'Aug 2015'!G63+'Sept 2015'!G63+'Oct. 2015'!G63+'Nov 2015'!G63+'Dec. 2015'!G63+'Jan. 2016'!G63+'Feb. 2016'!G63+'March 2016'!G63+'April 2016'!G63+'May 2016'!G63+'June 2016'!G63)</f>
        <v>0</v>
      </c>
      <c r="H63" s="136">
        <f>SUM('July 2015'!H63+'Aug 2015'!H63+'Sept 2015'!H63+'Oct. 2015'!H63+'Nov 2015'!H63+'Dec. 2015'!H63+'Jan. 2016'!H63+'Feb. 2016'!H63+'March 2016'!H63+'April 2016'!H63+'May 2016'!H63+'June 2016'!H63)</f>
        <v>0</v>
      </c>
      <c r="I63" s="136">
        <f>SUM('July 2015'!I63+'Aug 2015'!I63+'Sept 2015'!I63+'Oct. 2015'!I63+'Nov 2015'!I63+'Dec. 2015'!I63+'Jan. 2016'!I63+'Feb. 2016'!I63+'March 2016'!I63+'April 2016'!I63+'May 2016'!I63+'June 2016'!I63)</f>
        <v>0</v>
      </c>
      <c r="J63" s="136">
        <f>SUM('July 2015'!J63+'Aug 2015'!J63+'Sept 2015'!J63+'Oct. 2015'!J63+'Nov 2015'!J63+'Dec. 2015'!J63+'Jan. 2016'!J63+'Feb. 2016'!J63+'March 2016'!J63+'April 2016'!J63+'May 2016'!J63+'June 2016'!J63)</f>
        <v>0</v>
      </c>
      <c r="K63" s="136">
        <f>SUM('July 2015'!K63+'Aug 2015'!K63+'Sept 2015'!K63+'Oct. 2015'!K63+'Nov 2015'!K63+'Dec. 2015'!K63+'Jan. 2016'!K63+'Feb. 2016'!K63+'March 2016'!K63+'April 2016'!K63+'May 2016'!K63+'June 2016'!K63)</f>
        <v>0</v>
      </c>
      <c r="L63" s="4">
        <f t="shared" si="5"/>
        <v>0</v>
      </c>
    </row>
    <row r="64" spans="2:12" x14ac:dyDescent="0.2">
      <c r="B64" s="38" t="s">
        <v>136</v>
      </c>
      <c r="C64" s="136">
        <f>SUM('July 2015'!C64+'Aug 2015'!C64+'Sept 2015'!C64+'Oct. 2015'!C64+'Nov 2015'!C64+'Dec. 2015'!C64+'Jan. 2016'!C64+'Feb. 2016'!C64+'March 2016'!C64+'April 2016'!C64+'May 2016'!C64+'June 2016'!C64)</f>
        <v>0</v>
      </c>
      <c r="D64" s="136">
        <f>SUM('July 2015'!D64+'Aug 2015'!D64+'Sept 2015'!D64+'Oct. 2015'!D64+'Nov 2015'!D64+'Dec. 2015'!D64+'Jan. 2016'!D64+'Feb. 2016'!D64+'March 2016'!D64+'April 2016'!D64+'May 2016'!D64+'June 2016'!D64)</f>
        <v>0</v>
      </c>
      <c r="E64" s="136">
        <f>SUM('July 2015'!E64+'Aug 2015'!E64+'Sept 2015'!E64+'Oct. 2015'!E64+'Nov 2015'!E64+'Dec. 2015'!E64+'Jan. 2016'!E64+'Feb. 2016'!E64+'March 2016'!E64+'April 2016'!E64+'May 2016'!E64+'June 2016'!E64)</f>
        <v>0</v>
      </c>
      <c r="F64" s="136">
        <f>SUM('July 2015'!F64+'Aug 2015'!F64+'Sept 2015'!F64+'Oct. 2015'!F64+'Nov 2015'!F64+'Dec. 2015'!F64+'Jan. 2016'!F64+'Feb. 2016'!F64+'March 2016'!F64+'April 2016'!F64+'May 2016'!F64+'June 2016'!F64)</f>
        <v>0</v>
      </c>
      <c r="G64" s="136">
        <f>SUM('July 2015'!G64+'Aug 2015'!G64+'Sept 2015'!G64+'Oct. 2015'!G64+'Nov 2015'!G64+'Dec. 2015'!G64+'Jan. 2016'!G64+'Feb. 2016'!G64+'March 2016'!G64+'April 2016'!G64+'May 2016'!G64+'June 2016'!G64)</f>
        <v>0</v>
      </c>
      <c r="H64" s="136">
        <f>SUM('July 2015'!H64+'Aug 2015'!H64+'Sept 2015'!H64+'Oct. 2015'!H64+'Nov 2015'!H64+'Dec. 2015'!H64+'Jan. 2016'!H64+'Feb. 2016'!H64+'March 2016'!H64+'April 2016'!H64+'May 2016'!H64+'June 2016'!H64)</f>
        <v>0</v>
      </c>
      <c r="I64" s="136">
        <f>SUM('July 2015'!I64+'Aug 2015'!I64+'Sept 2015'!I64+'Oct. 2015'!I64+'Nov 2015'!I64+'Dec. 2015'!I64+'Jan. 2016'!I64+'Feb. 2016'!I64+'March 2016'!I64+'April 2016'!I64+'May 2016'!I64+'June 2016'!I64)</f>
        <v>0</v>
      </c>
      <c r="J64" s="136">
        <f>SUM('July 2015'!J64+'Aug 2015'!J64+'Sept 2015'!J64+'Oct. 2015'!J64+'Nov 2015'!J64+'Dec. 2015'!J64+'Jan. 2016'!J64+'Feb. 2016'!J64+'March 2016'!J64+'April 2016'!J64+'May 2016'!J64+'June 2016'!J64)</f>
        <v>0</v>
      </c>
      <c r="K64" s="136">
        <f>SUM('July 2015'!K64+'Aug 2015'!K64+'Sept 2015'!K64+'Oct. 2015'!K64+'Nov 2015'!K64+'Dec. 2015'!K64+'Jan. 2016'!K64+'Feb. 2016'!K64+'March 2016'!K64+'April 2016'!K64+'May 2016'!K64+'June 2016'!K64)</f>
        <v>0</v>
      </c>
      <c r="L64" s="4">
        <f t="shared" si="5"/>
        <v>0</v>
      </c>
    </row>
    <row r="65" spans="1:13" x14ac:dyDescent="0.2">
      <c r="B65" s="42" t="s">
        <v>163</v>
      </c>
      <c r="C65" s="136">
        <f>SUM('July 2015'!C65+'Aug 2015'!C65+'Sept 2015'!C65+'Oct. 2015'!C65+'Nov 2015'!C65+'Dec. 2015'!C65+'Jan. 2016'!C65+'Feb. 2016'!C65+'March 2016'!C65+'April 2016'!C65+'May 2016'!C65+'June 2016'!C65)</f>
        <v>0</v>
      </c>
      <c r="D65" s="136">
        <f>SUM('July 2015'!D65+'Aug 2015'!D65+'Sept 2015'!D65+'Oct. 2015'!D65+'Nov 2015'!D65+'Dec. 2015'!D65+'Jan. 2016'!D65+'Feb. 2016'!D65+'March 2016'!D65+'April 2016'!D65+'May 2016'!D65+'June 2016'!D65)</f>
        <v>0</v>
      </c>
      <c r="E65" s="136">
        <f>SUM('July 2015'!E65+'Aug 2015'!E65+'Sept 2015'!E65+'Oct. 2015'!E65+'Nov 2015'!E65+'Dec. 2015'!E65+'Jan. 2016'!E65+'Feb. 2016'!E65+'March 2016'!E65+'April 2016'!E65+'May 2016'!E65+'June 2016'!E65)</f>
        <v>6</v>
      </c>
      <c r="F65" s="136">
        <f>SUM('July 2015'!F65+'Aug 2015'!F65+'Sept 2015'!F65+'Oct. 2015'!F65+'Nov 2015'!F65+'Dec. 2015'!F65+'Jan. 2016'!F65+'Feb. 2016'!F65+'March 2016'!F65+'April 2016'!F65+'May 2016'!F65+'June 2016'!F65)</f>
        <v>15</v>
      </c>
      <c r="G65" s="136">
        <f>SUM('July 2015'!G65+'Aug 2015'!G65+'Sept 2015'!G65+'Oct. 2015'!G65+'Nov 2015'!G65+'Dec. 2015'!G65+'Jan. 2016'!G65+'Feb. 2016'!G65+'March 2016'!G65+'April 2016'!G65+'May 2016'!G65+'June 2016'!G65)</f>
        <v>37</v>
      </c>
      <c r="H65" s="136">
        <f>SUM('July 2015'!H65+'Aug 2015'!H65+'Sept 2015'!H65+'Oct. 2015'!H65+'Nov 2015'!H65+'Dec. 2015'!H65+'Jan. 2016'!H65+'Feb. 2016'!H65+'March 2016'!H65+'April 2016'!H65+'May 2016'!H65+'June 2016'!H65)</f>
        <v>3</v>
      </c>
      <c r="I65" s="136">
        <f>SUM('July 2015'!I65+'Aug 2015'!I65+'Sept 2015'!I65+'Oct. 2015'!I65+'Nov 2015'!I65+'Dec. 2015'!I65+'Jan. 2016'!I65+'Feb. 2016'!I65+'March 2016'!I65+'April 2016'!I65+'May 2016'!I65+'June 2016'!I65)</f>
        <v>0</v>
      </c>
      <c r="J65" s="136">
        <f>SUM('July 2015'!J65+'Aug 2015'!J65+'Sept 2015'!J65+'Oct. 2015'!J65+'Nov 2015'!J65+'Dec. 2015'!J65+'Jan. 2016'!J65+'Feb. 2016'!J65+'March 2016'!J65+'April 2016'!J65+'May 2016'!J65+'June 2016'!J65)</f>
        <v>0</v>
      </c>
      <c r="K65" s="136">
        <f>SUM('July 2015'!K65+'Aug 2015'!K65+'Sept 2015'!K65+'Oct. 2015'!K65+'Nov 2015'!K65+'Dec. 2015'!K65+'Jan. 2016'!K65+'Feb. 2016'!K65+'March 2016'!K65+'April 2016'!K65+'May 2016'!K65+'June 2016'!K65)</f>
        <v>7</v>
      </c>
      <c r="L65" s="4">
        <f t="shared" si="5"/>
        <v>68</v>
      </c>
    </row>
    <row r="66" spans="1:13" x14ac:dyDescent="0.2">
      <c r="B66" s="38" t="s">
        <v>83</v>
      </c>
      <c r="C66" s="136">
        <f>SUM('July 2015'!C66+'Aug 2015'!C66+'Sept 2015'!C66+'Oct. 2015'!C66+'Nov 2015'!C66+'Dec. 2015'!C66+'Jan. 2016'!C66+'Feb. 2016'!C66+'March 2016'!C66+'April 2016'!C66+'May 2016'!C66+'June 2016'!C66)</f>
        <v>68</v>
      </c>
      <c r="D66" s="136">
        <f>SUM('July 2015'!D66+'Aug 2015'!D66+'Sept 2015'!D66+'Oct. 2015'!D66+'Nov 2015'!D66+'Dec. 2015'!D66+'Jan. 2016'!D66+'Feb. 2016'!D66+'March 2016'!D66+'April 2016'!D66+'May 2016'!D66+'June 2016'!D66)</f>
        <v>82</v>
      </c>
      <c r="E66" s="136">
        <f>SUM('July 2015'!E66+'Aug 2015'!E66+'Sept 2015'!E66+'Oct. 2015'!E66+'Nov 2015'!E66+'Dec. 2015'!E66+'Jan. 2016'!E66+'Feb. 2016'!E66+'March 2016'!E66+'April 2016'!E66+'May 2016'!E66+'June 2016'!E66)</f>
        <v>254</v>
      </c>
      <c r="F66" s="136">
        <f>SUM('July 2015'!F66+'Aug 2015'!F66+'Sept 2015'!F66+'Oct. 2015'!F66+'Nov 2015'!F66+'Dec. 2015'!F66+'Jan. 2016'!F66+'Feb. 2016'!F66+'March 2016'!F66+'April 2016'!F66+'May 2016'!F66+'June 2016'!F66)</f>
        <v>311</v>
      </c>
      <c r="G66" s="136">
        <f>SUM('July 2015'!G66+'Aug 2015'!G66+'Sept 2015'!G66+'Oct. 2015'!G66+'Nov 2015'!G66+'Dec. 2015'!G66+'Jan. 2016'!G66+'Feb. 2016'!G66+'March 2016'!G66+'April 2016'!G66+'May 2016'!G66+'June 2016'!G66)</f>
        <v>98</v>
      </c>
      <c r="H66" s="136">
        <f>SUM('July 2015'!H66+'Aug 2015'!H66+'Sept 2015'!H66+'Oct. 2015'!H66+'Nov 2015'!H66+'Dec. 2015'!H66+'Jan. 2016'!H66+'Feb. 2016'!H66+'March 2016'!H66+'April 2016'!H66+'May 2016'!H66+'June 2016'!H66)</f>
        <v>87</v>
      </c>
      <c r="I66" s="136">
        <f>SUM('July 2015'!I66+'Aug 2015'!I66+'Sept 2015'!I66+'Oct. 2015'!I66+'Nov 2015'!I66+'Dec. 2015'!I66+'Jan. 2016'!I66+'Feb. 2016'!I66+'March 2016'!I66+'April 2016'!I66+'May 2016'!I66+'June 2016'!I66)</f>
        <v>93</v>
      </c>
      <c r="J66" s="136">
        <f>SUM('July 2015'!J66+'Aug 2015'!J66+'Sept 2015'!J66+'Oct. 2015'!J66+'Nov 2015'!J66+'Dec. 2015'!J66+'Jan. 2016'!J66+'Feb. 2016'!J66+'March 2016'!J66+'April 2016'!J66+'May 2016'!J66+'June 2016'!J66)</f>
        <v>544</v>
      </c>
      <c r="K66" s="136">
        <f>SUM('July 2015'!K66+'Aug 2015'!K66+'Sept 2015'!K66+'Oct. 2015'!K66+'Nov 2015'!K66+'Dec. 2015'!K66+'Jan. 2016'!K66+'Feb. 2016'!K66+'March 2016'!K66+'April 2016'!K66+'May 2016'!K66+'June 2016'!K66)</f>
        <v>251</v>
      </c>
      <c r="L66" s="4">
        <f t="shared" si="5"/>
        <v>1788</v>
      </c>
    </row>
    <row r="67" spans="1:13" x14ac:dyDescent="0.2">
      <c r="B67" s="42" t="s">
        <v>161</v>
      </c>
      <c r="C67" s="136">
        <f>SUM('July 2015'!C67+'Aug 2015'!C67+'Sept 2015'!C67+'Oct. 2015'!C67+'Nov 2015'!C67+'Dec. 2015'!C67+'Jan. 2016'!C67+'Feb. 2016'!C67+'March 2016'!C67+'April 2016'!C67+'May 2016'!C67+'June 2016'!C67)</f>
        <v>1</v>
      </c>
      <c r="D67" s="136">
        <f>SUM('July 2015'!D67+'Aug 2015'!D67+'Sept 2015'!D67+'Oct. 2015'!D67+'Nov 2015'!D67+'Dec. 2015'!D67+'Jan. 2016'!D67+'Feb. 2016'!D67+'March 2016'!D67+'April 2016'!D67+'May 2016'!D67+'June 2016'!D67)</f>
        <v>0</v>
      </c>
      <c r="E67" s="136">
        <f>SUM('July 2015'!E67+'Aug 2015'!E67+'Sept 2015'!E67+'Oct. 2015'!E67+'Nov 2015'!E67+'Dec. 2015'!E67+'Jan. 2016'!E67+'Feb. 2016'!E67+'March 2016'!E67+'April 2016'!E67+'May 2016'!E67+'June 2016'!E67)</f>
        <v>21</v>
      </c>
      <c r="F67" s="136">
        <f>SUM('July 2015'!F67+'Aug 2015'!F67+'Sept 2015'!F67+'Oct. 2015'!F67+'Nov 2015'!F67+'Dec. 2015'!F67+'Jan. 2016'!F67+'Feb. 2016'!F67+'March 2016'!F67+'April 2016'!F67+'May 2016'!F67+'June 2016'!F67)</f>
        <v>5</v>
      </c>
      <c r="G67" s="136">
        <f>SUM('July 2015'!G67+'Aug 2015'!G67+'Sept 2015'!G67+'Oct. 2015'!G67+'Nov 2015'!G67+'Dec. 2015'!G67+'Jan. 2016'!G67+'Feb. 2016'!G67+'March 2016'!G67+'April 2016'!G67+'May 2016'!G67+'June 2016'!G67)</f>
        <v>1</v>
      </c>
      <c r="H67" s="136">
        <f>SUM('July 2015'!H67+'Aug 2015'!H67+'Sept 2015'!H67+'Oct. 2015'!H67+'Nov 2015'!H67+'Dec. 2015'!H67+'Jan. 2016'!H67+'Feb. 2016'!H67+'March 2016'!H67+'April 2016'!H67+'May 2016'!H67+'June 2016'!H67)</f>
        <v>0</v>
      </c>
      <c r="I67" s="136">
        <f>SUM('July 2015'!I67+'Aug 2015'!I67+'Sept 2015'!I67+'Oct. 2015'!I67+'Nov 2015'!I67+'Dec. 2015'!I67+'Jan. 2016'!I67+'Feb. 2016'!I67+'March 2016'!I67+'April 2016'!I67+'May 2016'!I67+'June 2016'!I67)</f>
        <v>0</v>
      </c>
      <c r="J67" s="136">
        <f>SUM('July 2015'!J67+'Aug 2015'!J67+'Sept 2015'!J67+'Oct. 2015'!J67+'Nov 2015'!J67+'Dec. 2015'!J67+'Jan. 2016'!J67+'Feb. 2016'!J67+'March 2016'!J67+'April 2016'!J67+'May 2016'!J67+'June 2016'!J67)</f>
        <v>0</v>
      </c>
      <c r="K67" s="136">
        <f>SUM('July 2015'!K67+'Aug 2015'!K67+'Sept 2015'!K67+'Oct. 2015'!K67+'Nov 2015'!K67+'Dec. 2015'!K67+'Jan. 2016'!K67+'Feb. 2016'!K67+'March 2016'!K67+'April 2016'!K67+'May 2016'!K67+'June 2016'!K67)</f>
        <v>0</v>
      </c>
      <c r="L67" s="4">
        <f t="shared" si="5"/>
        <v>28</v>
      </c>
    </row>
    <row r="68" spans="1:13" x14ac:dyDescent="0.2">
      <c r="B68" s="42" t="s">
        <v>129</v>
      </c>
      <c r="C68" s="136">
        <f>SUM('July 2015'!C68+'Aug 2015'!C68+'Sept 2015'!C68+'Oct. 2015'!C68+'Nov 2015'!C68+'Dec. 2015'!C68+'Jan. 2016'!C68+'Feb. 2016'!C68+'March 2016'!C68+'April 2016'!C68+'May 2016'!C68+'June 2016'!C68)</f>
        <v>1</v>
      </c>
      <c r="D68" s="136">
        <f>SUM('July 2015'!D68+'Aug 2015'!D68+'Sept 2015'!D68+'Oct. 2015'!D68+'Nov 2015'!D68+'Dec. 2015'!D68+'Jan. 2016'!D68+'Feb. 2016'!D68+'March 2016'!D68+'April 2016'!D68+'May 2016'!D68+'June 2016'!D68)</f>
        <v>0</v>
      </c>
      <c r="E68" s="136">
        <f>SUM('July 2015'!E68+'Aug 2015'!E68+'Sept 2015'!E68+'Oct. 2015'!E68+'Nov 2015'!E68+'Dec. 2015'!E68+'Jan. 2016'!E68+'Feb. 2016'!E68+'March 2016'!E68+'April 2016'!E68+'May 2016'!E68+'June 2016'!E68)</f>
        <v>4</v>
      </c>
      <c r="F68" s="136">
        <f>SUM('July 2015'!F68+'Aug 2015'!F68+'Sept 2015'!F68+'Oct. 2015'!F68+'Nov 2015'!F68+'Dec. 2015'!F68+'Jan. 2016'!F68+'Feb. 2016'!F68+'March 2016'!F68+'April 2016'!F68+'May 2016'!F68+'June 2016'!F68)</f>
        <v>2</v>
      </c>
      <c r="G68" s="136">
        <f>SUM('July 2015'!G68+'Aug 2015'!G68+'Sept 2015'!G68+'Oct. 2015'!G68+'Nov 2015'!G68+'Dec. 2015'!G68+'Jan. 2016'!G68+'Feb. 2016'!G68+'March 2016'!G68+'April 2016'!G68+'May 2016'!G68+'June 2016'!G68)</f>
        <v>0</v>
      </c>
      <c r="H68" s="136">
        <f>SUM('July 2015'!H68+'Aug 2015'!H68+'Sept 2015'!H68+'Oct. 2015'!H68+'Nov 2015'!H68+'Dec. 2015'!H68+'Jan. 2016'!H68+'Feb. 2016'!H68+'March 2016'!H68+'April 2016'!H68+'May 2016'!H68+'June 2016'!H68)</f>
        <v>0</v>
      </c>
      <c r="I68" s="136">
        <f>SUM('July 2015'!I68+'Aug 2015'!I68+'Sept 2015'!I68+'Oct. 2015'!I68+'Nov 2015'!I68+'Dec. 2015'!I68+'Jan. 2016'!I68+'Feb. 2016'!I68+'March 2016'!I68+'April 2016'!I68+'May 2016'!I68+'June 2016'!I68)</f>
        <v>0</v>
      </c>
      <c r="J68" s="136">
        <f>SUM('July 2015'!J68+'Aug 2015'!J68+'Sept 2015'!J68+'Oct. 2015'!J68+'Nov 2015'!J68+'Dec. 2015'!J68+'Jan. 2016'!J68+'Feb. 2016'!J68+'March 2016'!J68+'April 2016'!J68+'May 2016'!J68+'June 2016'!J68)</f>
        <v>0</v>
      </c>
      <c r="K68" s="136">
        <f>SUM('July 2015'!K68+'Aug 2015'!K68+'Sept 2015'!K68+'Oct. 2015'!K68+'Nov 2015'!K68+'Dec. 2015'!K68+'Jan. 2016'!K68+'Feb. 2016'!K68+'March 2016'!K68+'April 2016'!K68+'May 2016'!K68+'June 2016'!K68)</f>
        <v>0</v>
      </c>
      <c r="L68" s="4">
        <f t="shared" si="5"/>
        <v>7</v>
      </c>
    </row>
    <row r="69" spans="1:13" x14ac:dyDescent="0.2">
      <c r="B69" s="42" t="s">
        <v>94</v>
      </c>
      <c r="C69" s="136">
        <f>SUM('July 2015'!C69+'Aug 2015'!C69+'Sept 2015'!C69+'Oct. 2015'!C69+'Nov 2015'!C69+'Dec. 2015'!C69+'Jan. 2016'!C69+'Feb. 2016'!C69+'March 2016'!C69+'April 2016'!C69+'May 2016'!C69+'June 2016'!C69)</f>
        <v>8</v>
      </c>
      <c r="D69" s="136">
        <f>SUM('July 2015'!D69+'Aug 2015'!D69+'Sept 2015'!D69+'Oct. 2015'!D69+'Nov 2015'!D69+'Dec. 2015'!D69+'Jan. 2016'!D69+'Feb. 2016'!D69+'March 2016'!D69+'April 2016'!D69+'May 2016'!D69+'June 2016'!D69)</f>
        <v>0</v>
      </c>
      <c r="E69" s="136">
        <f>SUM('July 2015'!E69+'Aug 2015'!E69+'Sept 2015'!E69+'Oct. 2015'!E69+'Nov 2015'!E69+'Dec. 2015'!E69+'Jan. 2016'!E69+'Feb. 2016'!E69+'March 2016'!E69+'April 2016'!E69+'May 2016'!E69+'June 2016'!E69)</f>
        <v>16</v>
      </c>
      <c r="F69" s="136">
        <f>SUM('July 2015'!F69+'Aug 2015'!F69+'Sept 2015'!F69+'Oct. 2015'!F69+'Nov 2015'!F69+'Dec. 2015'!F69+'Jan. 2016'!F69+'Feb. 2016'!F69+'March 2016'!F69+'April 2016'!F69+'May 2016'!F69+'June 2016'!F69)</f>
        <v>104</v>
      </c>
      <c r="G69" s="136">
        <f>SUM('July 2015'!G69+'Aug 2015'!G69+'Sept 2015'!G69+'Oct. 2015'!G69+'Nov 2015'!G69+'Dec. 2015'!G69+'Jan. 2016'!G69+'Feb. 2016'!G69+'March 2016'!G69+'April 2016'!G69+'May 2016'!G69+'June 2016'!G69)</f>
        <v>65</v>
      </c>
      <c r="H69" s="136">
        <f>SUM('July 2015'!H69+'Aug 2015'!H69+'Sept 2015'!H69+'Oct. 2015'!H69+'Nov 2015'!H69+'Dec. 2015'!H69+'Jan. 2016'!H69+'Feb. 2016'!H69+'March 2016'!H69+'April 2016'!H69+'May 2016'!H69+'June 2016'!H69)</f>
        <v>5</v>
      </c>
      <c r="I69" s="136">
        <f>SUM('July 2015'!I69+'Aug 2015'!I69+'Sept 2015'!I69+'Oct. 2015'!I69+'Nov 2015'!I69+'Dec. 2015'!I69+'Jan. 2016'!I69+'Feb. 2016'!I69+'March 2016'!I69+'April 2016'!I69+'May 2016'!I69+'June 2016'!I69)</f>
        <v>0</v>
      </c>
      <c r="J69" s="136">
        <f>SUM('July 2015'!J69+'Aug 2015'!J69+'Sept 2015'!J69+'Oct. 2015'!J69+'Nov 2015'!J69+'Dec. 2015'!J69+'Jan. 2016'!J69+'Feb. 2016'!J69+'March 2016'!J69+'April 2016'!J69+'May 2016'!J69+'June 2016'!J69)</f>
        <v>76</v>
      </c>
      <c r="K69" s="136">
        <f>SUM('July 2015'!K69+'Aug 2015'!K69+'Sept 2015'!K69+'Oct. 2015'!K69+'Nov 2015'!K69+'Dec. 2015'!K69+'Jan. 2016'!K69+'Feb. 2016'!K69+'March 2016'!K69+'April 2016'!K69+'May 2016'!K69+'June 2016'!K69)</f>
        <v>33</v>
      </c>
      <c r="L69" s="4">
        <f t="shared" si="5"/>
        <v>307</v>
      </c>
    </row>
    <row r="70" spans="1:13" x14ac:dyDescent="0.2">
      <c r="B70" s="42" t="s">
        <v>162</v>
      </c>
      <c r="C70" s="136">
        <f>SUM('July 2015'!C70+'Aug 2015'!C70+'Sept 2015'!C70+'Oct. 2015'!C70+'Nov 2015'!C70+'Dec. 2015'!C70+'Jan. 2016'!C70+'Feb. 2016'!C70+'March 2016'!C70+'April 2016'!C70+'May 2016'!C70+'June 2016'!C70)</f>
        <v>0</v>
      </c>
      <c r="D70" s="136">
        <f>SUM('July 2015'!D70+'Aug 2015'!D70+'Sept 2015'!D70+'Oct. 2015'!D70+'Nov 2015'!D70+'Dec. 2015'!D70+'Jan. 2016'!D70+'Feb. 2016'!D70+'March 2016'!D70+'April 2016'!D70+'May 2016'!D70+'June 2016'!D70)</f>
        <v>0</v>
      </c>
      <c r="E70" s="136">
        <f>SUM('July 2015'!E70+'Aug 2015'!E70+'Sept 2015'!E70+'Oct. 2015'!E70+'Nov 2015'!E70+'Dec. 2015'!E70+'Jan. 2016'!E70+'Feb. 2016'!E70+'March 2016'!E70+'April 2016'!E70+'May 2016'!E70+'June 2016'!E70)</f>
        <v>0</v>
      </c>
      <c r="F70" s="136">
        <f>SUM('July 2015'!F70+'Aug 2015'!F70+'Sept 2015'!F70+'Oct. 2015'!F70+'Nov 2015'!F70+'Dec. 2015'!F70+'Jan. 2016'!F70+'Feb. 2016'!F70+'March 2016'!F70+'April 2016'!F70+'May 2016'!F70+'June 2016'!F70)</f>
        <v>0</v>
      </c>
      <c r="G70" s="136">
        <f>SUM('July 2015'!G70+'Aug 2015'!G70+'Sept 2015'!G70+'Oct. 2015'!G70+'Nov 2015'!G70+'Dec. 2015'!G70+'Jan. 2016'!G70+'Feb. 2016'!G70+'March 2016'!G70+'April 2016'!G70+'May 2016'!G70+'June 2016'!G70)</f>
        <v>0</v>
      </c>
      <c r="H70" s="136">
        <f>SUM('July 2015'!H70+'Aug 2015'!H70+'Sept 2015'!H70+'Oct. 2015'!H70+'Nov 2015'!H70+'Dec. 2015'!H70+'Jan. 2016'!H70+'Feb. 2016'!H70+'March 2016'!H70+'April 2016'!H70+'May 2016'!H70+'June 2016'!H70)</f>
        <v>0</v>
      </c>
      <c r="I70" s="136">
        <f>SUM('July 2015'!I70+'Aug 2015'!I70+'Sept 2015'!I70+'Oct. 2015'!I70+'Nov 2015'!I70+'Dec. 2015'!I70+'Jan. 2016'!I70+'Feb. 2016'!I70+'March 2016'!I70+'April 2016'!I70+'May 2016'!I70+'June 2016'!I70)</f>
        <v>0</v>
      </c>
      <c r="J70" s="136">
        <f>SUM('July 2015'!J70+'Aug 2015'!J70+'Sept 2015'!J70+'Oct. 2015'!J70+'Nov 2015'!J70+'Dec. 2015'!J70+'Jan. 2016'!J70+'Feb. 2016'!J70+'March 2016'!J70+'April 2016'!J70+'May 2016'!J70+'June 2016'!J70)</f>
        <v>0</v>
      </c>
      <c r="K70" s="136">
        <f>SUM('July 2015'!K70+'Aug 2015'!K70+'Sept 2015'!K70+'Oct. 2015'!K70+'Nov 2015'!K70+'Dec. 2015'!K70+'Jan. 2016'!K70+'Feb. 2016'!K70+'March 2016'!K70+'April 2016'!K70+'May 2016'!K70+'June 2016'!K70)</f>
        <v>0</v>
      </c>
      <c r="L70" s="4">
        <f t="shared" si="5"/>
        <v>0</v>
      </c>
    </row>
    <row r="71" spans="1:13" x14ac:dyDescent="0.2">
      <c r="B71" s="42" t="s">
        <v>44</v>
      </c>
      <c r="C71" s="136">
        <f>SUM('July 2015'!C71+'Aug 2015'!C71+'Sept 2015'!C71+'Oct. 2015'!C71+'Nov 2015'!C71+'Dec. 2015'!C71+'Jan. 2016'!C71+'Feb. 2016'!C71+'March 2016'!C71+'April 2016'!C71+'May 2016'!C71+'June 2016'!C71)</f>
        <v>63</v>
      </c>
      <c r="D71" s="136">
        <f>SUM('July 2015'!D71+'Aug 2015'!D71+'Sept 2015'!D71+'Oct. 2015'!D71+'Nov 2015'!D71+'Dec. 2015'!D71+'Jan. 2016'!D71+'Feb. 2016'!D71+'March 2016'!D71+'April 2016'!D71+'May 2016'!D71+'June 2016'!D71)</f>
        <v>49</v>
      </c>
      <c r="E71" s="136">
        <f>SUM('July 2015'!E71+'Aug 2015'!E71+'Sept 2015'!E71+'Oct. 2015'!E71+'Nov 2015'!E71+'Dec. 2015'!E71+'Jan. 2016'!E71+'Feb. 2016'!E71+'March 2016'!E71+'April 2016'!E71+'May 2016'!E71+'June 2016'!E71)</f>
        <v>134</v>
      </c>
      <c r="F71" s="136">
        <f>SUM('July 2015'!F71+'Aug 2015'!F71+'Sept 2015'!F71+'Oct. 2015'!F71+'Nov 2015'!F71+'Dec. 2015'!F71+'Jan. 2016'!F71+'Feb. 2016'!F71+'March 2016'!F71+'April 2016'!F71+'May 2016'!F71+'June 2016'!F71)</f>
        <v>295</v>
      </c>
      <c r="G71" s="136">
        <f>SUM('July 2015'!G71+'Aug 2015'!G71+'Sept 2015'!G71+'Oct. 2015'!G71+'Nov 2015'!G71+'Dec. 2015'!G71+'Jan. 2016'!G71+'Feb. 2016'!G71+'March 2016'!G71+'April 2016'!G71+'May 2016'!G71+'June 2016'!G71)</f>
        <v>229</v>
      </c>
      <c r="H71" s="136">
        <f>SUM('July 2015'!H71+'Aug 2015'!H71+'Sept 2015'!H71+'Oct. 2015'!H71+'Nov 2015'!H71+'Dec. 2015'!H71+'Jan. 2016'!H71+'Feb. 2016'!H71+'March 2016'!H71+'April 2016'!H71+'May 2016'!H71+'June 2016'!H71)</f>
        <v>31</v>
      </c>
      <c r="I71" s="136">
        <f>SUM('July 2015'!I71+'Aug 2015'!I71+'Sept 2015'!I71+'Oct. 2015'!I71+'Nov 2015'!I71+'Dec. 2015'!I71+'Jan. 2016'!I71+'Feb. 2016'!I71+'March 2016'!I71+'April 2016'!I71+'May 2016'!I71+'June 2016'!I71)</f>
        <v>18</v>
      </c>
      <c r="J71" s="136">
        <f>SUM('July 2015'!J71+'Aug 2015'!J71+'Sept 2015'!J71+'Oct. 2015'!J71+'Nov 2015'!J71+'Dec. 2015'!J71+'Jan. 2016'!J71+'Feb. 2016'!J71+'March 2016'!J71+'April 2016'!J71+'May 2016'!J71+'June 2016'!J71)</f>
        <v>444</v>
      </c>
      <c r="K71" s="136">
        <f>SUM('July 2015'!K71+'Aug 2015'!K71+'Sept 2015'!K71+'Oct. 2015'!K71+'Nov 2015'!K71+'Dec. 2015'!K71+'Jan. 2016'!K71+'Feb. 2016'!K71+'March 2016'!K71+'April 2016'!K71+'May 2016'!K71+'June 2016'!K71)</f>
        <v>155</v>
      </c>
      <c r="L71" s="4">
        <f t="shared" si="5"/>
        <v>1418</v>
      </c>
    </row>
    <row r="72" spans="1:13" x14ac:dyDescent="0.2">
      <c r="B72" s="42" t="s">
        <v>43</v>
      </c>
      <c r="C72" s="136">
        <f>SUM('July 2015'!C72+'Aug 2015'!C72+'Sept 2015'!C72+'Oct. 2015'!C72+'Nov 2015'!C72+'Dec. 2015'!C72+'Jan. 2016'!C72+'Feb. 2016'!C72+'March 2016'!C72+'April 2016'!C72+'May 2016'!C72+'June 2016'!C72)</f>
        <v>0</v>
      </c>
      <c r="D72" s="136">
        <f>SUM('July 2015'!D72+'Aug 2015'!D72+'Sept 2015'!D72+'Oct. 2015'!D72+'Nov 2015'!D72+'Dec. 2015'!D72+'Jan. 2016'!D72+'Feb. 2016'!D72+'March 2016'!D72+'April 2016'!D72+'May 2016'!D72+'June 2016'!D72)</f>
        <v>4</v>
      </c>
      <c r="E72" s="136">
        <f>SUM('July 2015'!E72+'Aug 2015'!E72+'Sept 2015'!E72+'Oct. 2015'!E72+'Nov 2015'!E72+'Dec. 2015'!E72+'Jan. 2016'!E72+'Feb. 2016'!E72+'March 2016'!E72+'April 2016'!E72+'May 2016'!E72+'June 2016'!E72)</f>
        <v>48</v>
      </c>
      <c r="F72" s="136">
        <f>SUM('July 2015'!F72+'Aug 2015'!F72+'Sept 2015'!F72+'Oct. 2015'!F72+'Nov 2015'!F72+'Dec. 2015'!F72+'Jan. 2016'!F72+'Feb. 2016'!F72+'March 2016'!F72+'April 2016'!F72+'May 2016'!F72+'June 2016'!F72)</f>
        <v>29</v>
      </c>
      <c r="G72" s="136">
        <f>SUM('July 2015'!G72+'Aug 2015'!G72+'Sept 2015'!G72+'Oct. 2015'!G72+'Nov 2015'!G72+'Dec. 2015'!G72+'Jan. 2016'!G72+'Feb. 2016'!G72+'March 2016'!G72+'April 2016'!G72+'May 2016'!G72+'June 2016'!G72)</f>
        <v>30</v>
      </c>
      <c r="H72" s="136">
        <f>SUM('July 2015'!H72+'Aug 2015'!H72+'Sept 2015'!H72+'Oct. 2015'!H72+'Nov 2015'!H72+'Dec. 2015'!H72+'Jan. 2016'!H72+'Feb. 2016'!H72+'March 2016'!H72+'April 2016'!H72+'May 2016'!H72+'June 2016'!H72)</f>
        <v>0</v>
      </c>
      <c r="I72" s="136">
        <f>SUM('July 2015'!I72+'Aug 2015'!I72+'Sept 2015'!I72+'Oct. 2015'!I72+'Nov 2015'!I72+'Dec. 2015'!I72+'Jan. 2016'!I72+'Feb. 2016'!I72+'March 2016'!I72+'April 2016'!I72+'May 2016'!I72+'June 2016'!I72)</f>
        <v>0</v>
      </c>
      <c r="J72" s="136">
        <f>SUM('July 2015'!J72+'Aug 2015'!J72+'Sept 2015'!J72+'Oct. 2015'!J72+'Nov 2015'!J72+'Dec. 2015'!J72+'Jan. 2016'!J72+'Feb. 2016'!J72+'March 2016'!J72+'April 2016'!J72+'May 2016'!J72+'June 2016'!J72)</f>
        <v>12</v>
      </c>
      <c r="K72" s="136">
        <f>SUM('July 2015'!K72+'Aug 2015'!K72+'Sept 2015'!K72+'Oct. 2015'!K72+'Nov 2015'!K72+'Dec. 2015'!K72+'Jan. 2016'!K72+'Feb. 2016'!K72+'March 2016'!K72+'April 2016'!K72+'May 2016'!K72+'June 2016'!K72)</f>
        <v>15</v>
      </c>
      <c r="L72" s="4">
        <f t="shared" si="5"/>
        <v>138</v>
      </c>
    </row>
    <row r="73" spans="1:13" x14ac:dyDescent="0.2">
      <c r="B73" s="42" t="s">
        <v>120</v>
      </c>
      <c r="C73" s="136">
        <f>SUM('July 2015'!C73+'Aug 2015'!C73+'Sept 2015'!C73+'Oct. 2015'!C73+'Nov 2015'!C73+'Dec. 2015'!C73+'Jan. 2016'!C73+'Feb. 2016'!C73+'March 2016'!C73+'April 2016'!C73+'May 2016'!C73+'June 2016'!C73)</f>
        <v>0</v>
      </c>
      <c r="D73" s="136">
        <f>SUM('July 2015'!D73+'Aug 2015'!D73+'Sept 2015'!D73+'Oct. 2015'!D73+'Nov 2015'!D73+'Dec. 2015'!D73+'Jan. 2016'!D73+'Feb. 2016'!D73+'March 2016'!D73+'April 2016'!D73+'May 2016'!D73+'June 2016'!D73)</f>
        <v>0</v>
      </c>
      <c r="E73" s="136">
        <f>SUM('July 2015'!E73+'Aug 2015'!E73+'Sept 2015'!E73+'Oct. 2015'!E73+'Nov 2015'!E73+'Dec. 2015'!E73+'Jan. 2016'!E73+'Feb. 2016'!E73+'March 2016'!E73+'April 2016'!E73+'May 2016'!E73+'June 2016'!E73)</f>
        <v>0</v>
      </c>
      <c r="F73" s="136">
        <f>SUM('July 2015'!F73+'Aug 2015'!F73+'Sept 2015'!F73+'Oct. 2015'!F73+'Nov 2015'!F73+'Dec. 2015'!F73+'Jan. 2016'!F73+'Feb. 2016'!F73+'March 2016'!F73+'April 2016'!F73+'May 2016'!F73+'June 2016'!F73)</f>
        <v>2</v>
      </c>
      <c r="G73" s="136">
        <f>SUM('July 2015'!G73+'Aug 2015'!G73+'Sept 2015'!G73+'Oct. 2015'!G73+'Nov 2015'!G73+'Dec. 2015'!G73+'Jan. 2016'!G73+'Feb. 2016'!G73+'March 2016'!G73+'April 2016'!G73+'May 2016'!G73+'June 2016'!G73)</f>
        <v>0</v>
      </c>
      <c r="H73" s="136">
        <f>SUM('July 2015'!H73+'Aug 2015'!H73+'Sept 2015'!H73+'Oct. 2015'!H73+'Nov 2015'!H73+'Dec. 2015'!H73+'Jan. 2016'!H73+'Feb. 2016'!H73+'March 2016'!H73+'April 2016'!H73+'May 2016'!H73+'June 2016'!H73)</f>
        <v>0</v>
      </c>
      <c r="I73" s="136">
        <f>SUM('July 2015'!I73+'Aug 2015'!I73+'Sept 2015'!I73+'Oct. 2015'!I73+'Nov 2015'!I73+'Dec. 2015'!I73+'Jan. 2016'!I73+'Feb. 2016'!I73+'March 2016'!I73+'April 2016'!I73+'May 2016'!I73+'June 2016'!I73)</f>
        <v>0</v>
      </c>
      <c r="J73" s="136">
        <f>SUM('July 2015'!J73+'Aug 2015'!J73+'Sept 2015'!J73+'Oct. 2015'!J73+'Nov 2015'!J73+'Dec. 2015'!J73+'Jan. 2016'!J73+'Feb. 2016'!J73+'March 2016'!J73+'April 2016'!J73+'May 2016'!J73+'June 2016'!J73)</f>
        <v>0</v>
      </c>
      <c r="K73" s="136">
        <f>SUM('July 2015'!K73+'Aug 2015'!K73+'Sept 2015'!K73+'Oct. 2015'!K73+'Nov 2015'!K73+'Dec. 2015'!K73+'Jan. 2016'!K73+'Feb. 2016'!K73+'March 2016'!K73+'April 2016'!K73+'May 2016'!K73+'June 2016'!K73)</f>
        <v>0</v>
      </c>
      <c r="L73" s="4">
        <f t="shared" si="5"/>
        <v>2</v>
      </c>
    </row>
    <row r="74" spans="1:13" x14ac:dyDescent="0.2">
      <c r="B74" s="38" t="s">
        <v>74</v>
      </c>
      <c r="C74" s="136">
        <f>SUM('July 2015'!C74+'Aug 2015'!C74+'Sept 2015'!C74+'Oct. 2015'!C74+'Nov 2015'!C74+'Dec. 2015'!C74+'Jan. 2016'!C74+'Feb. 2016'!C74+'March 2016'!C74+'April 2016'!C74+'May 2016'!C74+'June 2016'!C74)</f>
        <v>0</v>
      </c>
      <c r="D74" s="136">
        <f>SUM('July 2015'!D74+'Aug 2015'!D74+'Sept 2015'!D74+'Oct. 2015'!D74+'Nov 2015'!D74+'Dec. 2015'!D74+'Jan. 2016'!D74+'Feb. 2016'!D74+'March 2016'!D74+'April 2016'!D74+'May 2016'!D74+'June 2016'!D74)</f>
        <v>0</v>
      </c>
      <c r="E74" s="136">
        <f>SUM('July 2015'!E74+'Aug 2015'!E74+'Sept 2015'!E74+'Oct. 2015'!E74+'Nov 2015'!E74+'Dec. 2015'!E74+'Jan. 2016'!E74+'Feb. 2016'!E74+'March 2016'!E74+'April 2016'!E74+'May 2016'!E74+'June 2016'!E74)</f>
        <v>0</v>
      </c>
      <c r="F74" s="136">
        <f>SUM('July 2015'!F74+'Aug 2015'!F74+'Sept 2015'!F74+'Oct. 2015'!F74+'Nov 2015'!F74+'Dec. 2015'!F74+'Jan. 2016'!F74+'Feb. 2016'!F74+'March 2016'!F74+'April 2016'!F74+'May 2016'!F74+'June 2016'!F74)</f>
        <v>3</v>
      </c>
      <c r="G74" s="136">
        <f>SUM('July 2015'!G74+'Aug 2015'!G74+'Sept 2015'!G74+'Oct. 2015'!G74+'Nov 2015'!G74+'Dec. 2015'!G74+'Jan. 2016'!G74+'Feb. 2016'!G74+'March 2016'!G74+'April 2016'!G74+'May 2016'!G74+'June 2016'!G74)</f>
        <v>0</v>
      </c>
      <c r="H74" s="136">
        <f>SUM('July 2015'!H74+'Aug 2015'!H74+'Sept 2015'!H74+'Oct. 2015'!H74+'Nov 2015'!H74+'Dec. 2015'!H74+'Jan. 2016'!H74+'Feb. 2016'!H74+'March 2016'!H74+'April 2016'!H74+'May 2016'!H74+'June 2016'!H74)</f>
        <v>0</v>
      </c>
      <c r="I74" s="136">
        <f>SUM('July 2015'!I74+'Aug 2015'!I74+'Sept 2015'!I74+'Oct. 2015'!I74+'Nov 2015'!I74+'Dec. 2015'!I74+'Jan. 2016'!I74+'Feb. 2016'!I74+'March 2016'!I74+'April 2016'!I74+'May 2016'!I74+'June 2016'!I74)</f>
        <v>0</v>
      </c>
      <c r="J74" s="136">
        <f>SUM('July 2015'!J74+'Aug 2015'!J74+'Sept 2015'!J74+'Oct. 2015'!J74+'Nov 2015'!J74+'Dec. 2015'!J74+'Jan. 2016'!J74+'Feb. 2016'!J74+'March 2016'!J74+'April 2016'!J74+'May 2016'!J74+'June 2016'!J74)</f>
        <v>0</v>
      </c>
      <c r="K74" s="136">
        <f>SUM('July 2015'!K74+'Aug 2015'!K74+'Sept 2015'!K74+'Oct. 2015'!K74+'Nov 2015'!K74+'Dec. 2015'!K74+'Jan. 2016'!K74+'Feb. 2016'!K74+'March 2016'!K74+'April 2016'!K74+'May 2016'!K74+'June 2016'!K74)</f>
        <v>0</v>
      </c>
      <c r="L74" s="4">
        <f t="shared" si="5"/>
        <v>3</v>
      </c>
    </row>
    <row r="75" spans="1:13" ht="13.5" thickBot="1" x14ac:dyDescent="0.25">
      <c r="B75" s="80" t="s">
        <v>67</v>
      </c>
      <c r="C75" s="137">
        <f>SUM('July 2015'!C75+'Aug 2015'!C75+'Sept 2015'!C75+'Oct. 2015'!C75+'Nov 2015'!C75+'Dec. 2015'!C75+'Jan. 2016'!C75+'Feb. 2016'!C75+'March 2016'!C75+'April 2016'!C75+'May 2016'!C75+'June 2016'!C75)</f>
        <v>0</v>
      </c>
      <c r="D75" s="137">
        <f>SUM('July 2015'!D75+'Aug 2015'!D75+'Sept 2015'!D75+'Oct. 2015'!D75+'Nov 2015'!D75+'Dec. 2015'!D75+'Jan. 2016'!D75+'Feb. 2016'!D75+'March 2016'!D75+'April 2016'!D75+'May 2016'!D75+'June 2016'!D75)</f>
        <v>10</v>
      </c>
      <c r="E75" s="137">
        <f>SUM('July 2015'!E75+'Aug 2015'!E75+'Sept 2015'!E75+'Oct. 2015'!E75+'Nov 2015'!E75+'Dec. 2015'!E75+'Jan. 2016'!E75+'Feb. 2016'!E75+'March 2016'!E75+'April 2016'!E75+'May 2016'!E75+'June 2016'!E75)</f>
        <v>1</v>
      </c>
      <c r="F75" s="137">
        <f>SUM('July 2015'!F75+'Aug 2015'!F75+'Sept 2015'!F75+'Oct. 2015'!F75+'Nov 2015'!F75+'Dec. 2015'!F75+'Jan. 2016'!F75+'Feb. 2016'!F75+'March 2016'!F75+'April 2016'!F75+'May 2016'!F75+'June 2016'!F75)</f>
        <v>10</v>
      </c>
      <c r="G75" s="137">
        <f>SUM('July 2015'!G75+'Aug 2015'!G75+'Sept 2015'!G75+'Oct. 2015'!G75+'Nov 2015'!G75+'Dec. 2015'!G75+'Jan. 2016'!G75+'Feb. 2016'!G75+'March 2016'!G75+'April 2016'!G75+'May 2016'!G75+'June 2016'!G75)</f>
        <v>7</v>
      </c>
      <c r="H75" s="137">
        <f>SUM('July 2015'!H75+'Aug 2015'!H75+'Sept 2015'!H75+'Oct. 2015'!H75+'Nov 2015'!H75+'Dec. 2015'!H75+'Jan. 2016'!H75+'Feb. 2016'!H75+'March 2016'!H75+'April 2016'!H75+'May 2016'!H75+'June 2016'!H75)</f>
        <v>1</v>
      </c>
      <c r="I75" s="137">
        <f>SUM('July 2015'!I75+'Aug 2015'!I75+'Sept 2015'!I75+'Oct. 2015'!I75+'Nov 2015'!I75+'Dec. 2015'!I75+'Jan. 2016'!I75+'Feb. 2016'!I75+'March 2016'!I75+'April 2016'!I75+'May 2016'!I75+'June 2016'!I75)</f>
        <v>0</v>
      </c>
      <c r="J75" s="137">
        <f>SUM('July 2015'!J75+'Aug 2015'!J75+'Sept 2015'!J75+'Oct. 2015'!J75+'Nov 2015'!J75+'Dec. 2015'!J75+'Jan. 2016'!J75+'Feb. 2016'!J75+'March 2016'!J75+'April 2016'!J75+'May 2016'!J75+'June 2016'!J75)</f>
        <v>67</v>
      </c>
      <c r="K75" s="137">
        <f>SUM('July 2015'!K75+'Aug 2015'!K75+'Sept 2015'!K75+'Oct. 2015'!K75+'Nov 2015'!K75+'Dec. 2015'!K75+'Jan. 2016'!K75+'Feb. 2016'!K75+'March 2016'!K75+'April 2016'!K75+'May 2016'!K75+'June 2016'!K75)</f>
        <v>0</v>
      </c>
      <c r="L75" s="4">
        <f t="shared" si="5"/>
        <v>96</v>
      </c>
    </row>
    <row r="76" spans="1:13" ht="13.5" thickTop="1" x14ac:dyDescent="0.2">
      <c r="B76" s="69" t="s">
        <v>7</v>
      </c>
      <c r="C76" s="45">
        <f t="shared" ref="C76:K76" si="6">SUM(C49:C75)</f>
        <v>323</v>
      </c>
      <c r="D76" s="45">
        <f t="shared" si="6"/>
        <v>258</v>
      </c>
      <c r="E76" s="45">
        <f t="shared" si="6"/>
        <v>875</v>
      </c>
      <c r="F76" s="45">
        <f t="shared" si="6"/>
        <v>1337</v>
      </c>
      <c r="G76" s="45">
        <f t="shared" si="6"/>
        <v>808</v>
      </c>
      <c r="H76" s="45">
        <f t="shared" si="6"/>
        <v>247</v>
      </c>
      <c r="I76" s="45">
        <f t="shared" si="6"/>
        <v>243</v>
      </c>
      <c r="J76" s="45">
        <f t="shared" si="6"/>
        <v>1992</v>
      </c>
      <c r="K76" s="45">
        <f t="shared" si="6"/>
        <v>713</v>
      </c>
      <c r="L76" s="123">
        <f t="shared" si="5"/>
        <v>6796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87"/>
      <c r="G78" s="195"/>
      <c r="I78" s="186" t="s">
        <v>45</v>
      </c>
      <c r="J78" s="187"/>
      <c r="K78" s="187"/>
      <c r="L78" s="195"/>
      <c r="M78" s="6"/>
    </row>
    <row r="79" spans="1:13" x14ac:dyDescent="0.2">
      <c r="A79" s="94" t="s">
        <v>123</v>
      </c>
      <c r="C79" s="140">
        <f>SUM('July 2015'!C79+'Aug 2015'!C79+'Sept 2015'!C79+'Oct. 2015'!C79+'Nov 2015'!C79+'Dec. 2015'!C79+'Jan. 2016'!C79+'Feb. 2016'!C79+'March 2016'!C79+'April 2016'!C79+'May 2016'!C79+'June 2016'!C79)</f>
        <v>70</v>
      </c>
      <c r="D79" s="6"/>
      <c r="E79" s="38" t="s">
        <v>9</v>
      </c>
      <c r="F79" s="36"/>
      <c r="G79" s="140">
        <f>SUM('July 2015'!G79+'Aug 2015'!G79+'Sept 2015'!G79+'Oct. 2015'!G79+'Nov 2015'!G79+'Dec. 2015'!G79+'Jan. 2016'!G79+'Feb. 2016'!G79+'March 2016'!G79+'April 2016'!G79+'May 2016'!G79+'June 2016'!G79)</f>
        <v>4275</v>
      </c>
      <c r="I79" s="42" t="s">
        <v>133</v>
      </c>
      <c r="J79" s="36"/>
      <c r="K79" s="36"/>
      <c r="L79" s="140">
        <f>SUM('July 2015'!L79+'Aug 2015'!L79+'Sept 2015'!L79+'Oct. 2015'!L79+'Nov 2015'!L79+'Dec. 2015'!L79+'Jan. 2016'!L79+'Feb. 2016'!L79+'March 2016'!L79+'April 2016'!L79+'May 2016'!L79+'June 2016'!L79)</f>
        <v>4081</v>
      </c>
      <c r="M79" s="6"/>
    </row>
    <row r="80" spans="1:13" x14ac:dyDescent="0.2">
      <c r="A80" s="42" t="s">
        <v>29</v>
      </c>
      <c r="B80" s="36"/>
      <c r="C80" s="140">
        <f>SUM('July 2015'!C80+'Aug 2015'!C80+'Sept 2015'!C80+'Oct. 2015'!C80+'Nov 2015'!C80+'Dec. 2015'!C80+'Jan. 2016'!C80+'Feb. 2016'!C80+'March 2016'!C80+'April 2016'!C80+'May 2016'!C80+'June 2016'!C80)</f>
        <v>52</v>
      </c>
      <c r="D80" s="6"/>
      <c r="E80" s="38" t="s">
        <v>10</v>
      </c>
      <c r="F80" s="36"/>
      <c r="G80" s="140">
        <f>SUM('July 2015'!G80+'Aug 2015'!G80+'Sept 2015'!G80+'Oct. 2015'!G80+'Nov 2015'!G80+'Dec. 2015'!G80+'Jan. 2016'!G80+'Feb. 2016'!G80+'March 2016'!G80+'April 2016'!G80+'May 2016'!G80+'June 2016'!G80)</f>
        <v>1486</v>
      </c>
      <c r="I80" s="42" t="s">
        <v>134</v>
      </c>
      <c r="J80" s="36"/>
      <c r="K80" s="36"/>
      <c r="L80" s="140">
        <f>SUM('July 2015'!L80+'Aug 2015'!L80+'Sept 2015'!L80+'Oct. 2015'!L80+'Nov 2015'!L80+'Dec. 2015'!L80+'Jan. 2016'!L80+'Feb. 2016'!L80+'March 2016'!L80+'April 2016'!L80+'May 2016'!L80+'June 2016'!L80)</f>
        <v>1034</v>
      </c>
      <c r="M80" s="6"/>
    </row>
    <row r="81" spans="1:13" x14ac:dyDescent="0.2">
      <c r="A81" s="42" t="s">
        <v>124</v>
      </c>
      <c r="B81" s="36"/>
      <c r="C81" s="140">
        <f>SUM('July 2015'!C81+'Aug 2015'!C81+'Sept 2015'!C81+'Oct. 2015'!C81+'Nov 2015'!C81+'Dec. 2015'!C81+'Jan. 2016'!C81+'Feb. 2016'!C81+'March 2016'!C81+'April 2016'!C81+'May 2016'!C81+'June 2016'!C81)</f>
        <v>477</v>
      </c>
      <c r="D81" s="6"/>
      <c r="E81" s="38" t="s">
        <v>11</v>
      </c>
      <c r="F81" s="36"/>
      <c r="G81" s="140">
        <f>SUM('July 2015'!G81+'Aug 2015'!G81+'Sept 2015'!G81+'Oct. 2015'!G81+'Nov 2015'!G81+'Dec. 2015'!G81+'Jan. 2016'!G81+'Feb. 2016'!G81+'March 2016'!G81+'April 2016'!G81+'May 2016'!G81+'June 2016'!G81)</f>
        <v>343</v>
      </c>
      <c r="I81" s="42" t="s">
        <v>46</v>
      </c>
      <c r="J81" s="36"/>
      <c r="K81" s="36"/>
      <c r="L81" s="140">
        <f>SUM('July 2015'!L81+'Aug 2015'!L81+'Sept 2015'!L81+'Oct. 2015'!L81+'Nov 2015'!L81+'Dec. 2015'!L81+'Jan. 2016'!L81+'Feb. 2016'!L81+'March 2016'!L81+'April 2016'!L81+'May 2016'!L81+'June 2016'!L81)</f>
        <v>211</v>
      </c>
      <c r="M81" s="6"/>
    </row>
    <row r="82" spans="1:13" x14ac:dyDescent="0.2">
      <c r="A82" s="42" t="s">
        <v>125</v>
      </c>
      <c r="B82" s="57"/>
      <c r="C82" s="140">
        <f>SUM('July 2015'!C82+'Aug 2015'!C82+'Sept 2015'!C82+'Oct. 2015'!C82+'Nov 2015'!C82+'Dec. 2015'!C82+'Jan. 2016'!C82+'Feb. 2016'!C82+'March 2016'!C82+'April 2016'!C82+'May 2016'!C82+'June 2016'!C82)</f>
        <v>3890</v>
      </c>
      <c r="D82" s="6"/>
      <c r="E82" s="38" t="s">
        <v>38</v>
      </c>
      <c r="F82" s="36"/>
      <c r="G82" s="140">
        <f>SUM('July 2015'!G82+'Aug 2015'!G82+'Sept 2015'!G82+'Oct. 2015'!G82+'Nov 2015'!G82+'Dec. 2015'!G82+'Jan. 2016'!G82+'Feb. 2016'!G82+'March 2016'!G82+'April 2016'!G82+'May 2016'!G82+'June 2016'!G82)</f>
        <v>1380</v>
      </c>
      <c r="I82" s="42" t="s">
        <v>47</v>
      </c>
      <c r="J82" s="36"/>
      <c r="K82" s="36"/>
      <c r="L82" s="140">
        <f>SUM('July 2015'!L82+'Aug 2015'!L82+'Sept 2015'!L82+'Oct. 2015'!L82+'Nov 2015'!L82+'Dec. 2015'!L82+'Jan. 2016'!L82+'Feb. 2016'!L82+'March 2016'!L82+'April 2016'!L82+'May 2016'!L82+'June 2016'!L82)</f>
        <v>97</v>
      </c>
      <c r="M82" s="6"/>
    </row>
    <row r="83" spans="1:13" x14ac:dyDescent="0.2">
      <c r="A83" s="42" t="s">
        <v>106</v>
      </c>
      <c r="B83" s="57"/>
      <c r="C83" s="140">
        <f>SUM('July 2015'!C83+'Aug 2015'!C83+'Sept 2015'!C83+'Oct. 2015'!C83+'Nov 2015'!C83+'Dec. 2015'!C83+'Jan. 2016'!C83+'Feb. 2016'!C83+'March 2016'!C83+'April 2016'!C83+'May 2016'!C83+'June 2016'!C83)</f>
        <v>630</v>
      </c>
      <c r="D83" s="6"/>
      <c r="E83" s="48" t="s">
        <v>39</v>
      </c>
      <c r="F83" s="45"/>
      <c r="G83" s="141">
        <f>SUM('July 2015'!G83+'Aug 2015'!G83+'Sept 2015'!G83+'Oct. 2015'!G83+'Nov 2015'!G83+'Dec. 2015'!G83+'Jan. 2016'!G83+'Feb. 2016'!G83+'March 2016'!G83+'April 2016'!G83+'May 2016'!G83+'June 2016'!G83)</f>
        <v>0</v>
      </c>
      <c r="I83" s="106" t="s">
        <v>138</v>
      </c>
      <c r="J83" s="45"/>
      <c r="K83" s="45"/>
      <c r="L83" s="141">
        <f>SUM('July 2015'!L83+'Aug 2015'!L83+'Sept 2015'!L83+'Oct. 2015'!L83+'Nov 2015'!L83+'Dec. 2015'!L83+'Jan. 2016'!L83+'Feb. 2016'!L83+'March 2016'!L83+'April 2016'!L83+'May 2016'!L83+'June 2016'!L83)</f>
        <v>28</v>
      </c>
      <c r="M83" s="6"/>
    </row>
    <row r="84" spans="1:13" x14ac:dyDescent="0.2">
      <c r="A84" s="42" t="s">
        <v>146</v>
      </c>
      <c r="B84" s="57"/>
      <c r="C84" s="140">
        <f>SUM('July 2015'!C84+'Aug 2015'!C84+'Sept 2015'!C84+'Oct. 2015'!C84+'Nov 2015'!C84+'Dec. 2015'!C84+'Jan. 2016'!C84+'Feb. 2016'!C84+'March 2016'!C84+'April 2016'!C84+'May 2016'!C84+'June 2016'!C84)</f>
        <v>144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140">
        <f>SUM('July 2015'!C85+'Aug 2015'!C85+'Sept 2015'!C85+'Oct. 2015'!C85+'Nov 2015'!C85+'Dec. 2015'!C85+'Jan. 2016'!C85+'Feb. 2016'!C85+'March 2016'!C85+'April 2016'!C85+'May 2016'!C85+'June 2016'!C85)</f>
        <v>303</v>
      </c>
    </row>
    <row r="86" spans="1:13" x14ac:dyDescent="0.2">
      <c r="A86" s="42" t="s">
        <v>126</v>
      </c>
      <c r="B86" s="36"/>
      <c r="C86" s="140">
        <f>SUM('July 2015'!C86+'Aug 2015'!C86+'Sept 2015'!C86+'Oct. 2015'!C86+'Nov 2015'!C86+'Dec. 2015'!C86+'Jan. 2016'!C86+'Feb. 2016'!C86+'March 2016'!C86+'April 2016'!C86+'May 2016'!C86+'June 2016'!C86)</f>
        <v>33</v>
      </c>
      <c r="E86" s="186" t="s">
        <v>31</v>
      </c>
      <c r="F86" s="187"/>
      <c r="G86" s="187"/>
      <c r="H86" s="195"/>
    </row>
    <row r="87" spans="1:13" x14ac:dyDescent="0.2">
      <c r="A87" s="104" t="s">
        <v>127</v>
      </c>
      <c r="B87" s="36"/>
      <c r="C87" s="140">
        <f>SUM('July 2015'!C87+'Aug 2015'!C87+'Sept 2015'!C87+'Oct. 2015'!C87+'Nov 2015'!C87+'Dec. 2015'!C87+'Jan. 2016'!C87+'Feb. 2016'!C87+'March 2016'!C87+'April 2016'!C87+'May 2016'!C87+'June 2016'!C87)</f>
        <v>0</v>
      </c>
      <c r="E87" s="42" t="s">
        <v>32</v>
      </c>
      <c r="F87" s="60"/>
      <c r="G87" s="60"/>
      <c r="H87" s="140">
        <f>SUM('July 2015'!H87+'Aug 2015'!H87+'Sept 2015'!H87+'Oct. 2015'!H87+'Nov 2015'!H87+'Dec. 2015'!H87+'Jan. 2016'!H87+'Feb. 2016'!H87+'March 2016'!H87+'April 2016'!H87+'May 2016'!H87+'June 2016'!H87)</f>
        <v>503</v>
      </c>
    </row>
    <row r="88" spans="1:13" x14ac:dyDescent="0.2">
      <c r="A88" s="104" t="s">
        <v>128</v>
      </c>
      <c r="B88" s="57"/>
      <c r="C88" s="140">
        <f>SUM('July 2015'!C88+'Aug 2015'!C88+'Sept 2015'!C88+'Oct. 2015'!C88+'Nov 2015'!C88+'Dec. 2015'!C88+'Jan. 2016'!C88+'Feb. 2016'!C88+'March 2016'!C88+'April 2016'!C88+'May 2016'!C88+'June 2016'!C88)</f>
        <v>9</v>
      </c>
      <c r="E88" s="42" t="s">
        <v>33</v>
      </c>
      <c r="F88" s="57"/>
      <c r="G88" s="57"/>
      <c r="H88" s="140">
        <f>SUM('July 2015'!H88+'Aug 2015'!H88+'Sept 2015'!H88+'Oct. 2015'!H88+'Nov 2015'!H88+'Dec. 2015'!H88+'Jan. 2016'!H88+'Feb. 2016'!H88+'March 2016'!H88+'April 2016'!H88+'May 2016'!H88+'June 2016'!H88)</f>
        <v>442</v>
      </c>
    </row>
    <row r="89" spans="1:13" x14ac:dyDescent="0.2">
      <c r="A89" s="104" t="s">
        <v>18</v>
      </c>
      <c r="C89" s="140">
        <f>SUM('July 2015'!C89+'Aug 2015'!C89+'Sept 2015'!C89+'Oct. 2015'!C89+'Nov 2015'!C89+'Dec. 2015'!C89+'Jan. 2016'!C89+'Feb. 2016'!C89+'March 2016'!C89+'April 2016'!C89+'May 2016'!C89+'June 2016'!C89)</f>
        <v>147</v>
      </c>
      <c r="E89" s="44" t="s">
        <v>48</v>
      </c>
      <c r="F89" s="65"/>
      <c r="G89" s="45"/>
      <c r="H89" s="141">
        <f>SUM('July 2015'!H89+'Aug 2015'!H89+'Sept 2015'!H89+'Oct. 2015'!H89+'Nov 2015'!H89+'Dec. 2015'!H89+'Jan. 2016'!H89+'Feb. 2016'!H89+'March 2016'!H89+'April 2016'!H89+'May 2016'!H89+'June 2016'!H89)</f>
        <v>1</v>
      </c>
      <c r="I89" s="2"/>
      <c r="J89" s="1"/>
    </row>
    <row r="90" spans="1:13" x14ac:dyDescent="0.2">
      <c r="A90" s="106" t="s">
        <v>541</v>
      </c>
      <c r="B90" s="45"/>
      <c r="C90" s="141">
        <f>SUM('July 2015'!C90+'Aug 2015'!C90+'Sept 2015'!C90+'Oct. 2015'!C90+'Nov 2015'!C90+'Dec. 2015'!C90+'Jan. 2016'!C90+'Feb. 2016'!C90+'March 2016'!C90+'April 2016'!C90+'May 2016'!C90+'June 2016'!C90)</f>
        <v>6709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88"/>
      <c r="C93" s="205"/>
      <c r="I93" s="2"/>
      <c r="J93" s="1"/>
    </row>
    <row r="94" spans="1:13" x14ac:dyDescent="0.2">
      <c r="B94" s="1" t="s">
        <v>69</v>
      </c>
      <c r="D94" s="1" t="s">
        <v>101</v>
      </c>
      <c r="E94" s="1" t="s">
        <v>100</v>
      </c>
      <c r="F94" s="1"/>
      <c r="I94" s="199" t="s">
        <v>72</v>
      </c>
      <c r="J94" s="199"/>
    </row>
    <row r="95" spans="1:13" x14ac:dyDescent="0.2">
      <c r="A95" s="1" t="s">
        <v>71</v>
      </c>
      <c r="B95" s="19" t="s">
        <v>415</v>
      </c>
      <c r="C95" s="142"/>
      <c r="D95" s="243">
        <f>SUM('July 2015'!D95+'Aug 2015'!D95+'Sept 2015'!D95+'Oct. 2015'!D95+'Nov 2015'!D95+'Dec. 2015'!D95+'Jan. 2016'!D95+'Feb. 2016'!D95+'March 2016'!D95+'April 2016'!D95+'May 2016'!D95+'June 2016'!D95)</f>
        <v>24052</v>
      </c>
      <c r="E95" s="243">
        <f>SUM('July 2015'!E95+'Aug 2015'!E95+'Sept 2015'!E95+'Oct. 2015'!E95+'Nov 2015'!E95+'Dec. 2015'!E95+'Jan. 2016'!E95+'Feb. 2016'!E95+'March 2016'!E95+'April 2016'!E95+'May 2016'!E95+'June 2016'!E95)</f>
        <v>0</v>
      </c>
      <c r="F95" s="244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43"/>
      <c r="D96" s="243">
        <f>SUM('July 2015'!D96+'Aug 2015'!D96+'Sept 2015'!D96+'Oct. 2015'!D96+'Nov 2015'!D96+'Dec. 2015'!D96+'Jan. 2016'!D96+'Feb. 2016'!D96+'March 2016'!D96+'April 2016'!D96+'May 2016'!D96+'June 2016'!D96)</f>
        <v>57</v>
      </c>
      <c r="E96" s="243">
        <f>SUM('July 2015'!E96+'Aug 2015'!E96+'Sept 2015'!E96+'Oct. 2015'!E96+'Nov 2015'!E96+'Dec. 2015'!E96+'Jan. 2016'!E96+'Feb. 2016'!E96+'March 2016'!E96+'April 2016'!E96+'May 2016'!E96+'June 2016'!E96)</f>
        <v>0</v>
      </c>
      <c r="F96" s="244" t="s">
        <v>416</v>
      </c>
      <c r="H96" s="1"/>
      <c r="I96" s="71" t="s">
        <v>139</v>
      </c>
      <c r="J96" s="60"/>
      <c r="K96" s="140">
        <f>SUM('July 2015'!K96+'Aug 2015'!K96+'Sept 2015'!K96+'Oct. 2015'!K96+'Nov 2015'!K96+'Dec. 2015'!K96+'Jan. 2016'!K96+'Feb. 2016'!K96+'March 2016'!K96+'April 2016'!K96+'May 2016'!K96+'June 2016'!K96)</f>
        <v>21</v>
      </c>
      <c r="L96" s="140">
        <f>SUM('July 2015'!L96+'Aug 2015'!L96+'Sept 2015'!L96+'Oct. 2015'!L96+'Nov 2015'!L96+'Dec. 2015'!L96+'Jan. 2016'!L96+'Feb. 2016'!L96+'March 2016'!L96+'April 2016'!L96+'May 2016'!L96+'June 2016'!L96)</f>
        <v>1647</v>
      </c>
      <c r="M96" s="140">
        <f>SUM('July 2015'!M96+'Aug 2015'!M96+'Sept 2015'!M96+'Oct. 2015'!M96+'Nov 2015'!M96+'Dec. 2015'!M96+'Jan. 2016'!M96+'Feb. 2016'!M96+'March 2016'!M96+'April 2016'!M96+'May 2016'!M96+'June 2016'!M96)</f>
        <v>13</v>
      </c>
    </row>
    <row r="97" spans="1:13" x14ac:dyDescent="0.2">
      <c r="A97" s="1"/>
      <c r="B97" s="17" t="s">
        <v>147</v>
      </c>
      <c r="C97" s="143"/>
      <c r="D97" s="243">
        <f>SUM('July 2015'!D97+'Aug 2015'!D97+'Sept 2015'!D97+'Oct. 2015'!D97+'Nov 2015'!D97+'Dec. 2015'!D97+'Jan. 2016'!D97+'Feb. 2016'!D97+'March 2016'!D97+'April 2016'!D97+'May 2016'!D97+'June 2016'!D97)</f>
        <v>1260</v>
      </c>
      <c r="E97" s="243">
        <f>SUM('July 2015'!E97+'Aug 2015'!E97+'Sept 2015'!E97+'Oct. 2015'!E97+'Nov 2015'!E97+'Dec. 2015'!E97+'Jan. 2016'!E97+'Feb. 2016'!E97+'March 2016'!E97+'April 2016'!E97+'May 2016'!E97+'June 2016'!E97)</f>
        <v>1698</v>
      </c>
      <c r="F97" s="244"/>
      <c r="I97" s="42" t="s">
        <v>140</v>
      </c>
      <c r="K97" s="140">
        <f>SUM('July 2015'!K97+'Aug 2015'!K97+'Sept 2015'!K97+'Oct. 2015'!K97+'Nov 2015'!K97+'Dec. 2015'!K97+'Jan. 2016'!K97+'Feb. 2016'!K97+'March 2016'!K97+'April 2016'!K97+'May 2016'!K97+'June 2016'!K97)</f>
        <v>0</v>
      </c>
      <c r="L97" s="140">
        <f>SUM('July 2015'!L97+'Aug 2015'!L97+'Sept 2015'!L97+'Oct. 2015'!L97+'Nov 2015'!L97+'Dec. 2015'!L97+'Jan. 2016'!L97+'Feb. 2016'!L97+'March 2016'!L97+'April 2016'!L97+'May 2016'!L97+'June 2016'!L97)</f>
        <v>674</v>
      </c>
      <c r="M97" s="140">
        <f>SUM('July 2015'!M97+'Aug 2015'!M97+'Sept 2015'!M97+'Oct. 2015'!M97+'Nov 2015'!M97+'Dec. 2015'!M97+'Jan. 2016'!M97+'Feb. 2016'!M97+'March 2016'!M97+'April 2016'!M97+'May 2016'!M97+'June 2016'!M97)</f>
        <v>0</v>
      </c>
    </row>
    <row r="98" spans="1:13" x14ac:dyDescent="0.2">
      <c r="B98" s="22" t="s">
        <v>102</v>
      </c>
      <c r="C98" s="144"/>
      <c r="D98" s="243">
        <f>SUM('July 2015'!D98+'Aug 2015'!D98+'Sept 2015'!D98+'Oct. 2015'!D98+'Nov 2015'!D98+'Dec. 2015'!D98+'Jan. 2016'!D98+'Feb. 2016'!D98+'March 2016'!D98+'April 2016'!D98+'May 2016'!D98+'June 2016'!D98)</f>
        <v>7245</v>
      </c>
      <c r="E98" s="243">
        <f>SUM('July 2015'!E98+'Aug 2015'!E98+'Sept 2015'!E98+'Oct. 2015'!E98+'Nov 2015'!E98+'Dec. 2015'!E98+'Jan. 2016'!E98+'Feb. 2016'!E98+'March 2016'!E98+'April 2016'!E98+'May 2016'!E98+'June 2016'!E98)</f>
        <v>0</v>
      </c>
      <c r="F98" s="244"/>
      <c r="I98" s="71" t="s">
        <v>154</v>
      </c>
      <c r="J98" s="60"/>
      <c r="K98" s="140">
        <f>SUM('July 2015'!K98+'Aug 2015'!K98+'Sept 2015'!K98+'Oct. 2015'!K98+'Nov 2015'!K98+'Dec. 2015'!K98+'Jan. 2016'!K98+'Feb. 2016'!K98+'March 2016'!K98+'April 2016'!K98+'May 2016'!K98+'June 2016'!K98)</f>
        <v>0</v>
      </c>
      <c r="L98" s="140">
        <f>SUM('July 2015'!L98+'Aug 2015'!L98+'Sept 2015'!L98+'Oct. 2015'!L98+'Nov 2015'!L98+'Dec. 2015'!L98+'Jan. 2016'!L98+'Feb. 2016'!L98+'March 2016'!L98+'April 2016'!L98+'May 2016'!L98+'June 2016'!L98)</f>
        <v>548</v>
      </c>
      <c r="M98" s="140">
        <f>SUM('July 2015'!M98+'Aug 2015'!M98+'Sept 2015'!M98+'Oct. 2015'!M98+'Nov 2015'!M98+'Dec. 2015'!M98+'Jan. 2016'!M98+'Feb. 2016'!M98+'March 2016'!M98+'April 2016'!M98+'May 2016'!M98+'June 2016'!M98)</f>
        <v>0</v>
      </c>
    </row>
    <row r="99" spans="1:13" x14ac:dyDescent="0.2">
      <c r="B99" s="37" t="s">
        <v>151</v>
      </c>
      <c r="C99" s="144"/>
      <c r="D99" s="243">
        <f>SUM('July 2015'!D99+'Aug 2015'!D99+'Sept 2015'!D99+'Oct. 2015'!D99+'Nov 2015'!D99+'Dec. 2015'!D99+'Jan. 2016'!D99+'Feb. 2016'!D99+'March 2016'!D99+'April 2016'!D99+'May 2016'!D99+'June 2016'!D99)</f>
        <v>1003</v>
      </c>
      <c r="E99" s="243">
        <f>SUM('July 2015'!E99+'Aug 2015'!E99+'Sept 2015'!E99+'Oct. 2015'!E99+'Nov 2015'!E99+'Dec. 2015'!E99+'Jan. 2016'!E99+'Feb. 2016'!E99+'March 2016'!E99+'April 2016'!E99+'May 2016'!E99+'June 2016'!E99)</f>
        <v>0</v>
      </c>
      <c r="F99" s="244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144"/>
      <c r="D100" s="243">
        <f>SUM('July 2015'!D100+'Aug 2015'!D100+'Sept 2015'!D100+'Oct. 2015'!D100+'Nov 2015'!D100+'Dec. 2015'!D100+'Jan. 2016'!D100+'Feb. 2016'!D100+'March 2016'!D100+'April 2016'!D100+'May 2016'!D100+'June 2016'!D100)</f>
        <v>2225</v>
      </c>
      <c r="E100" s="243">
        <f>SUM('July 2015'!E100+'Aug 2015'!E100+'Sept 2015'!E100+'Oct. 2015'!E100+'Nov 2015'!E100+'Dec. 2015'!E100+'Jan. 2016'!E100+'Feb. 2016'!E100+'March 2016'!E100+'April 2016'!E100+'May 2016'!E100+'June 2016'!E100)</f>
        <v>0</v>
      </c>
      <c r="F100" s="244"/>
      <c r="H100" s="1"/>
      <c r="I100" s="69"/>
      <c r="J100" s="65"/>
      <c r="K100" s="98"/>
      <c r="L100" s="98"/>
      <c r="M100" s="99"/>
    </row>
    <row r="101" spans="1:13" x14ac:dyDescent="0.2">
      <c r="B101" s="245" t="s">
        <v>294</v>
      </c>
      <c r="C101" s="144"/>
      <c r="D101" s="243"/>
      <c r="E101" s="243"/>
      <c r="F101" s="244"/>
      <c r="H101" s="1"/>
      <c r="I101" s="57"/>
      <c r="J101" s="36"/>
      <c r="K101" s="36"/>
      <c r="L101" s="93"/>
      <c r="M101" s="93"/>
    </row>
    <row r="102" spans="1:13" x14ac:dyDescent="0.2">
      <c r="B102" s="17"/>
      <c r="C102" s="145"/>
      <c r="D102" s="243"/>
      <c r="E102" s="243"/>
      <c r="F102" s="244"/>
      <c r="H102" s="1"/>
      <c r="I102" s="199" t="s">
        <v>112</v>
      </c>
      <c r="J102" s="196"/>
      <c r="L102" s="93"/>
      <c r="M102" s="93"/>
    </row>
    <row r="103" spans="1:13" x14ac:dyDescent="0.2">
      <c r="A103" s="1" t="s">
        <v>80</v>
      </c>
      <c r="B103" s="17" t="s">
        <v>115</v>
      </c>
      <c r="C103" s="145"/>
      <c r="D103" s="243">
        <f>SUM('July 2015'!D103+'Aug 2015'!D103+'Sept 2015'!D103+'Oct. 2015'!D103+'Nov 2015'!D103+'Dec. 2015'!D103+'Jan. 2016'!D103+'Feb. 2016'!D103+'March 2016'!D103+'April 2016'!D103+'May 2016'!D103+'June 2016'!D103)</f>
        <v>3398</v>
      </c>
      <c r="E103" s="243">
        <f>SUM('July 2015'!E103+'Aug 2015'!E103+'Sept 2015'!E103+'Oct. 2015'!E103+'Nov 2015'!E103+'Dec. 2015'!E103+'Jan. 2016'!E103+'Feb. 2016'!E103+'March 2016'!E103+'April 2016'!E103+'May 2016'!E103+'June 2016'!E103)</f>
        <v>0</v>
      </c>
      <c r="F103" s="244"/>
      <c r="I103" s="102" t="s">
        <v>116</v>
      </c>
      <c r="J103" s="40"/>
      <c r="K103" s="148">
        <f>SUM('July 2015'!K103+'Aug 2015'!K103+'Sept 2015'!K103+'Oct. 2015'!K103+'Nov 2015'!K103+'Dec. 2015'!K103+'Jan. 2016'!K103+'Feb. 2016'!K103+'March 2016'!K103+'April 2016'!K103+'May 2016'!K103+'June 2016'!K103)</f>
        <v>17516</v>
      </c>
      <c r="L103" s="93"/>
      <c r="M103" s="93"/>
    </row>
    <row r="104" spans="1:13" x14ac:dyDescent="0.2">
      <c r="A104" s="1"/>
      <c r="B104" s="37" t="s">
        <v>98</v>
      </c>
      <c r="C104" s="145"/>
      <c r="D104" s="243">
        <f>SUM('July 2015'!D104+'Aug 2015'!D104+'Sept 2015'!D104+'Oct. 2015'!D104+'Nov 2015'!D104+'Dec. 2015'!D104+'Jan. 2016'!D104+'Feb. 2016'!D104+'March 2016'!D104+'April 2016'!D104+'May 2016'!D104+'June 2016'!D104)</f>
        <v>1937</v>
      </c>
      <c r="E104" s="243">
        <f>SUM('July 2015'!E104+'Aug 2015'!E104+'Sept 2015'!E104+'Oct. 2015'!E104+'Nov 2015'!E104+'Dec. 2015'!E104+'Jan. 2016'!E104+'Feb. 2016'!E104+'March 2016'!E104+'April 2016'!E104+'May 2016'!E104+'June 2016'!E104)</f>
        <v>0</v>
      </c>
      <c r="F104" s="244"/>
      <c r="I104" s="104" t="s">
        <v>101</v>
      </c>
      <c r="J104" s="4"/>
      <c r="K104" s="140">
        <f>SUM('July 2015'!K104+'Aug 2015'!K104+'Sept 2015'!K104+'Oct. 2015'!K104+'Nov 2015'!K104+'Dec. 2015'!K104+'Jan. 2016'!K104+'Feb. 2016'!K104+'March 2016'!K104+'April 2016'!K104+'May 2016'!K104+'June 2016'!K104)</f>
        <v>2439</v>
      </c>
      <c r="L104" s="93"/>
      <c r="M104" s="93"/>
    </row>
    <row r="105" spans="1:13" x14ac:dyDescent="0.2">
      <c r="B105" s="21" t="s">
        <v>99</v>
      </c>
      <c r="C105" s="146"/>
      <c r="D105" s="243">
        <f>SUM('July 2015'!D105+'Aug 2015'!D105+'Sept 2015'!D105+'Oct. 2015'!D105+'Nov 2015'!D105+'Dec. 2015'!D105+'Jan. 2016'!D105+'Feb. 2016'!D105+'March 2016'!D105+'April 2016'!D105+'May 2016'!D105+'June 2016'!D105)</f>
        <v>1310</v>
      </c>
      <c r="E105" s="243">
        <f>SUM('July 2015'!E105+'Aug 2015'!E105+'Sept 2015'!E105+'Oct. 2015'!E105+'Nov 2015'!E105+'Dec. 2015'!E105+'Jan. 2016'!E105+'Feb. 2016'!E105+'March 2016'!E105+'April 2016'!E105+'May 2016'!E105+'June 2016'!E105)</f>
        <v>0</v>
      </c>
      <c r="F105" s="244"/>
      <c r="I105" s="107"/>
      <c r="J105" s="108"/>
      <c r="K105" s="97"/>
      <c r="L105" s="93"/>
      <c r="M105" s="93"/>
    </row>
    <row r="106" spans="1:13" x14ac:dyDescent="0.2">
      <c r="B106" s="17"/>
      <c r="C106" s="143"/>
      <c r="D106" s="243">
        <f>SUM('July 2015'!D106+'Aug 2015'!D106+'Sept 2015'!D106+'Oct. 2015'!D106+'Nov 2015'!D106+'Dec. 2015'!D106+'Jan. 2016'!D106+'Feb. 2016'!D106+'March 2016'!D106+'April 2016'!D106+'May 2016'!D106+'June 2016'!D106)</f>
        <v>0</v>
      </c>
      <c r="E106" s="243">
        <f>SUM('July 2015'!E106+'Aug 2015'!E106+'Sept 2015'!E106+'Oct. 2015'!E106+'Nov 2015'!E106+'Dec. 2015'!E106+'Jan. 2016'!E106+'Feb. 2016'!E106+'March 2016'!E106+'April 2016'!E106+'May 2016'!E106+'June 2016'!E106)</f>
        <v>0</v>
      </c>
      <c r="F106" s="244"/>
      <c r="I106" s="200" t="s">
        <v>117</v>
      </c>
      <c r="J106" s="200"/>
      <c r="K106" s="201"/>
      <c r="L106" s="93"/>
      <c r="M106" s="93"/>
    </row>
    <row r="107" spans="1:13" x14ac:dyDescent="0.2">
      <c r="A107" s="1" t="s">
        <v>103</v>
      </c>
      <c r="B107" s="21" t="s">
        <v>81</v>
      </c>
      <c r="C107" s="146"/>
      <c r="D107" s="243">
        <f>SUM('July 2015'!D107+'Aug 2015'!D107+'Sept 2015'!D107+'Oct. 2015'!D107+'Nov 2015'!D107+'Dec. 2015'!D107+'Jan. 2016'!D107+'Feb. 2016'!D107+'March 2016'!D107+'April 2016'!D107+'May 2016'!D107+'June 2016'!D107)</f>
        <v>441</v>
      </c>
      <c r="E107" s="243">
        <f>SUM('July 2015'!E107+'Aug 2015'!E107+'Sept 2015'!E107+'Oct. 2015'!E107+'Nov 2015'!E107+'Dec. 2015'!E107+'Jan. 2016'!E107+'Feb. 2016'!E107+'March 2016'!E107+'April 2016'!E107+'May 2016'!E107+'June 2016'!E107)</f>
        <v>0</v>
      </c>
      <c r="F107" s="244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147"/>
      <c r="D108" s="243"/>
      <c r="E108" s="243"/>
      <c r="F108" s="244"/>
      <c r="I108" s="110" t="s">
        <v>23</v>
      </c>
      <c r="J108" s="101"/>
      <c r="K108" s="140">
        <f>SUM('July 2015'!K108+'Aug 2015'!K108+'Sept 2015'!K108+'Oct. 2015'!K108+'Nov 2015'!K108+'Dec. 2015'!K108+'Jan. 2016'!K108+'Feb. 2016'!K108+'March 2016'!K108+'April 2016'!K108+'May 2016'!K108+'June 2016'!K108)</f>
        <v>32</v>
      </c>
      <c r="L108" s="140">
        <f>SUM('July 2015'!L108+'Aug 2015'!L108+'Sept 2015'!L108+'Oct. 2015'!L108+'Nov 2015'!L108+'Dec. 2015'!L108+'Jan. 2016'!L108+'Feb. 2016'!L108+'March 2016'!L108+'April 2016'!L108+'May 2016'!L108+'June 2016'!L108)</f>
        <v>15</v>
      </c>
      <c r="M108" s="140">
        <f>SUM('July 2015'!M108+'Aug 2015'!M108+'Sept 2015'!M108+'Oct. 2015'!M108+'Nov 2015'!M108+'Dec. 2015'!M108+'Jan. 2016'!M108+'Feb. 2016'!M108+'March 2016'!M108+'April 2016'!M108+'May 2016'!M108+'June 2016'!M108)</f>
        <v>47</v>
      </c>
    </row>
    <row r="109" spans="1:13" x14ac:dyDescent="0.2">
      <c r="A109" s="1" t="s">
        <v>77</v>
      </c>
      <c r="B109" s="20" t="s">
        <v>82</v>
      </c>
      <c r="C109" s="147"/>
      <c r="D109" s="243">
        <f>SUM('July 2015'!D109+'Aug 2015'!D109+'Sept 2015'!D109+'Oct. 2015'!D109+'Nov 2015'!D109+'Dec. 2015'!D109+'Jan. 2016'!D109+'Feb. 2016'!D109+'March 2016'!D109+'April 2016'!D109+'May 2016'!D109+'June 2016'!D109)</f>
        <v>136</v>
      </c>
      <c r="E109" s="243">
        <f>SUM('July 2015'!E109+'Aug 2015'!E109+'Sept 2015'!E109+'Oct. 2015'!E109+'Nov 2015'!E109+'Dec. 2015'!E109+'Jan. 2016'!E109+'Feb. 2016'!E109+'March 2016'!E109+'April 2016'!E109+'May 2016'!E109+'June 2016'!E109)</f>
        <v>1554</v>
      </c>
      <c r="F109" s="244"/>
      <c r="I109" s="110" t="s">
        <v>24</v>
      </c>
      <c r="J109" s="101"/>
      <c r="K109" s="140">
        <f>SUM('July 2015'!K109+'Aug 2015'!K109+'Sept 2015'!K109+'Oct. 2015'!K109+'Nov 2015'!K109+'Dec. 2015'!K109+'Jan. 2016'!K109+'Feb. 2016'!K109+'March 2016'!K109+'April 2016'!K109+'May 2016'!K109+'June 2016'!K109)</f>
        <v>244</v>
      </c>
      <c r="L109" s="140">
        <f>SUM('July 2015'!L109+'Aug 2015'!L109+'Sept 2015'!L109+'Oct. 2015'!L109+'Nov 2015'!L109+'Dec. 2015'!L109+'Jan. 2016'!L109+'Feb. 2016'!L109+'March 2016'!L109+'April 2016'!L109+'May 2016'!L109+'June 2016'!L109)</f>
        <v>25</v>
      </c>
      <c r="M109" s="140">
        <f>SUM('July 2015'!M109+'Aug 2015'!M109+'Sept 2015'!M109+'Oct. 2015'!M109+'Nov 2015'!M109+'Dec. 2015'!M109+'Jan. 2016'!M109+'Feb. 2016'!M109+'March 2016'!M109+'April 2016'!M109+'May 2016'!M109+'June 2016'!M109)</f>
        <v>269</v>
      </c>
    </row>
    <row r="110" spans="1:13" x14ac:dyDescent="0.2">
      <c r="A110" s="1"/>
      <c r="B110" s="115" t="s">
        <v>153</v>
      </c>
      <c r="D110" s="243">
        <f>SUM('July 2015'!D110+'Aug 2015'!D110+'Sept 2015'!D110+'Oct. 2015'!D110+'Nov 2015'!D110+'Dec. 2015'!D110+'Jan. 2016'!D110+'Feb. 2016'!D110+'March 2016'!D110+'April 2016'!D110+'May 2016'!D110+'June 2016'!D110)</f>
        <v>106</v>
      </c>
      <c r="E110" s="243">
        <f>SUM('July 2015'!E110+'Aug 2015'!E110+'Sept 2015'!E110+'Oct. 2015'!E110+'Nov 2015'!E110+'Dec. 2015'!E110+'Jan. 2016'!E110+'Feb. 2016'!E110+'March 2016'!E110+'April 2016'!E110+'May 2016'!E110+'June 2016'!E110)</f>
        <v>0</v>
      </c>
      <c r="F110" s="244"/>
      <c r="I110" s="110" t="s">
        <v>156</v>
      </c>
      <c r="J110" s="101"/>
      <c r="K110" s="140">
        <f>SUM('July 2015'!K110+'Aug 2015'!K110+'Sept 2015'!K110+'Oct. 2015'!K110+'Nov 2015'!K110+'Dec. 2015'!K110+'Jan. 2016'!K110+'Feb. 2016'!K110+'March 2016'!K110+'April 2016'!K110+'May 2016'!K110+'June 2016'!K110)</f>
        <v>24</v>
      </c>
      <c r="L110" s="136"/>
      <c r="M110" s="140"/>
    </row>
    <row r="111" spans="1:13" x14ac:dyDescent="0.2">
      <c r="A111" s="1"/>
      <c r="B111" s="39" t="s">
        <v>182</v>
      </c>
      <c r="C111" s="147"/>
      <c r="D111" s="243">
        <f>SUM('July 2015'!D111+'Aug 2015'!D111+'Sept 2015'!D111+'Oct. 2015'!D111+'Nov 2015'!D111+'Dec. 2015'!D111+'Jan. 2016'!D111+'Feb. 2016'!D111+'March 2016'!D111+'April 2016'!D111+'May 2016'!D111+'June 2016'!D111)</f>
        <v>28519</v>
      </c>
      <c r="E111" s="243">
        <f>SUM('July 2015'!E111+'Aug 2015'!E111+'Sept 2015'!E111+'Oct. 2015'!E111+'Nov 2015'!E111+'Dec. 2015'!E111+'Jan. 2016'!E111+'Feb. 2016'!E111+'March 2016'!E111+'April 2016'!E111+'May 2016'!E111+'June 2016'!E111)</f>
        <v>0</v>
      </c>
      <c r="F111" s="244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147"/>
      <c r="D112" s="243">
        <f>SUM('July 2015'!D112+'Aug 2015'!D112+'Sept 2015'!D112+'Oct. 2015'!D112+'Nov 2015'!D112+'Dec. 2015'!D112+'Jan. 2016'!D112+'Feb. 2016'!D112+'March 2016'!D112+'April 2016'!D112+'May 2016'!D112+'June 2016'!D112)</f>
        <v>2630</v>
      </c>
      <c r="E112" s="243">
        <f>SUM('July 2015'!E112+'Aug 2015'!E112+'Sept 2015'!E112+'Oct. 2015'!E112+'Nov 2015'!E112+'Dec. 2015'!E112+'Jan. 2016'!E112+'Feb. 2016'!E112+'March 2016'!E112+'April 2016'!E112+'May 2016'!E112+'June 2016'!E112)</f>
        <v>0</v>
      </c>
      <c r="F112" s="244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147"/>
      <c r="D113" s="243">
        <f>SUM('July 2015'!D113+'Aug 2015'!D113+'Sept 2015'!D113+'Oct. 2015'!D113+'Nov 2015'!D113+'Dec. 2015'!D113+'Jan. 2016'!D113+'Feb. 2016'!D113+'March 2016'!D113+'April 2016'!D113+'May 2016'!D113+'June 2016'!D113)</f>
        <v>2420</v>
      </c>
      <c r="E113" s="243">
        <f>SUM('July 2015'!E113+'Aug 2015'!E113+'Sept 2015'!E113+'Oct. 2015'!E113+'Nov 2015'!E113+'Dec. 2015'!E113+'Jan. 2016'!E113+'Feb. 2016'!E113+'March 2016'!E113+'April 2016'!E113+'May 2016'!E113+'June 2016'!E113)</f>
        <v>0</v>
      </c>
      <c r="F113" s="244"/>
      <c r="I113" s="181" t="s">
        <v>111</v>
      </c>
      <c r="J113" s="188"/>
      <c r="K113" s="148">
        <f>SUM('July 2015'!K113+'Aug 2015'!K112+'Sept 2015'!K113+'Oct. 2015'!K113+'Nov 2015'!K113+'Dec. 2015'!K113+'Jan. 2016'!K113+'Feb. 2016'!K113+'March 2016'!K113+'April 2016'!K113+'May 2016'!K113+'June 2016'!K113)</f>
        <v>15</v>
      </c>
      <c r="L113" s="110"/>
      <c r="M113" s="101"/>
    </row>
    <row r="114" spans="1:13" x14ac:dyDescent="0.2">
      <c r="B114" s="116" t="s">
        <v>132</v>
      </c>
      <c r="C114" s="147"/>
      <c r="D114" s="243">
        <f>SUM('July 2015'!D114+'Aug 2015'!D114+'Sept 2015'!D114+'Oct. 2015'!D114+'Nov 2015'!D114+'Dec. 2015'!D114+'Jan. 2016'!D114+'Feb. 2016'!D114+'March 2016'!D114+'April 2016'!D114+'May 2016'!D114+'June 2016'!D114)</f>
        <v>1600</v>
      </c>
      <c r="E114" s="243">
        <f>SUM('July 2015'!E114+'Aug 2015'!E114+'Sept 2015'!E114+'Oct. 2015'!E114+'Nov 2015'!E114+'Dec. 2015'!E114+'Jan. 2016'!E114+'Feb. 2016'!E114+'March 2016'!E114+'April 2016'!E114+'May 2016'!E114+'June 2016'!E114)</f>
        <v>0</v>
      </c>
      <c r="F114" s="244"/>
      <c r="I114" s="181" t="s">
        <v>143</v>
      </c>
      <c r="J114" s="188"/>
      <c r="K114" s="141">
        <f>SUM('July 2015'!K114+'Aug 2015'!K114+'Sept 2015'!K114+'Oct. 2015'!K114+'Nov 2015'!K114+'Dec. 2015'!K114+'Jan. 2016'!K114+'Feb. 2016'!K114+'March 2016'!K114+'April 2016'!K114+'May 2016'!K114+'June 2016'!K114)</f>
        <v>65</v>
      </c>
      <c r="L114" s="94" t="s">
        <v>145</v>
      </c>
      <c r="M114" s="101"/>
    </row>
    <row r="115" spans="1:13" x14ac:dyDescent="0.2">
      <c r="D115">
        <f>SUM(D95:D114)</f>
        <v>78339</v>
      </c>
      <c r="E115">
        <f>SUM(E95:E114)</f>
        <v>3252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6"/>
      <c r="C117" s="127"/>
      <c r="D117" s="127"/>
      <c r="E117" s="126"/>
      <c r="F117" s="127"/>
    </row>
    <row r="118" spans="1:13" x14ac:dyDescent="0.2">
      <c r="A118" s="181" t="s">
        <v>58</v>
      </c>
      <c r="B118" s="189"/>
      <c r="C118" s="205" t="s">
        <v>242</v>
      </c>
      <c r="D118" s="204"/>
      <c r="E118" s="40"/>
      <c r="F118" s="40"/>
      <c r="G118" s="40"/>
      <c r="H118" s="40"/>
      <c r="I118" s="40"/>
      <c r="J118" s="40"/>
      <c r="K118" s="40"/>
      <c r="L118" s="40"/>
      <c r="M118" s="41"/>
    </row>
    <row r="119" spans="1:13" x14ac:dyDescent="0.2">
      <c r="A119" s="38"/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A120" s="38"/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47256</v>
      </c>
      <c r="C122" s="36">
        <f>86+42+23</f>
        <v>151</v>
      </c>
      <c r="D122" s="36">
        <v>1460</v>
      </c>
      <c r="E122" s="4">
        <f>4+43+14+8+83+25+30+67+30+1</f>
        <v>305</v>
      </c>
      <c r="F122" s="4">
        <f>55+3+20+4+2+1+5+4+5+2+2+38+16+11+4+71+3+4+2+9+3+10+2+6+19+14+4+8+1+15+2+24+7+1+7+3+12+13+9+3+24+5+3+1+2+3</f>
        <v>462</v>
      </c>
      <c r="G122" s="36">
        <v>1040</v>
      </c>
      <c r="H122" s="4">
        <f>20+188+2044</f>
        <v>2252</v>
      </c>
      <c r="I122" s="4">
        <v>94</v>
      </c>
      <c r="J122" s="36">
        <v>0</v>
      </c>
      <c r="K122" s="36">
        <v>17</v>
      </c>
      <c r="L122" s="36">
        <v>637</v>
      </c>
      <c r="M122" s="43">
        <f>SUM(B122:L122)</f>
        <v>53674</v>
      </c>
    </row>
    <row r="123" spans="1:13" x14ac:dyDescent="0.2">
      <c r="A123" s="48"/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48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148">
        <f>SUM('July 2015'!C126+'Aug 2015'!C126+'Sept 2015'!C126+'Oct. 2015'!C126+'Nov 2015'!C126+'Dec. 2015'!C126+'Jan. 2016'!C126+'Feb. 2016'!C126+'March 2016'!C126+'April 2016'!C126+'May 2016'!C126+'June 2016'!C126)</f>
        <v>1489</v>
      </c>
      <c r="F126" s="186" t="s">
        <v>49</v>
      </c>
      <c r="G126" s="187"/>
      <c r="H126" s="148">
        <f>SUM('July 2015'!H126+'Aug 2015'!H126+'Sept 2015'!H126+'Oct. 2015'!H126+'Nov 2015'!H126+'Dec. 2015'!H126+'Jan. 2016'!H126+'Feb. 2016'!H126+'March 2016'!H126+'April 2016'!H126+'May 2016'!H126+'June 2016'!H126)</f>
        <v>24</v>
      </c>
      <c r="J126" s="186" t="s">
        <v>75</v>
      </c>
      <c r="K126" s="192"/>
      <c r="L126" s="192"/>
      <c r="M126" s="148">
        <f>SUM('July 2015'!M126+'Aug 2015'!M126+'Sept 2015'!M126+'Oct. 2015'!M126+'Nov 2015'!M126+'Dec. 2015'!M126+'Jan. 2016'!M126+'Feb. 2016'!M126+'March 2016'!M126+'April 2016'!M126+'May 2016'!M126+'June 2016'!M126)</f>
        <v>33</v>
      </c>
    </row>
    <row r="127" spans="1:13" x14ac:dyDescent="0.2">
      <c r="A127" s="203" t="s">
        <v>84</v>
      </c>
      <c r="B127" s="200"/>
      <c r="C127" s="140">
        <f>SUM('July 2015'!C127+'Aug 2015'!C127+'Sept 2015'!C127+'Oct. 2015'!C127+'Nov 2015'!C127+'Dec. 2015'!C127+'Jan. 2016'!C127+'Feb. 2016'!C127+'March 2016'!C127+'April 2016'!C127+'May 2016'!C127+'June 2016'!C127)</f>
        <v>1547</v>
      </c>
      <c r="F127" s="190" t="s">
        <v>50</v>
      </c>
      <c r="G127" s="191"/>
      <c r="H127" s="141">
        <f>SUM('July 2015'!H127+'Aug 2015'!H127+'Sept 2015'!H127+'Oct. 2015'!H127+'Nov 2015'!H127+'Dec. 2015'!H127+'Jan. 2016'!H127+'Feb. 2016'!H127+'March 2016'!H127+'April 2016'!H127+'May 2016'!H127+'June 2016'!H127)</f>
        <v>35</v>
      </c>
      <c r="J127" s="190" t="s">
        <v>76</v>
      </c>
      <c r="K127" s="202"/>
      <c r="L127" s="202"/>
      <c r="M127" s="141">
        <f>SUM('July 2015'!M127+'Aug 2015'!M127+'Sept 2015'!M127+'Oct. 2015'!M127+'Nov 2015'!M127+'Dec. 2015'!M127+'Jan. 2016'!M127+'Feb. 2016'!M127+'March 2016'!M127+'April 2016'!M127+'May 2016'!M127+'June 2016'!M127)</f>
        <v>43</v>
      </c>
    </row>
    <row r="128" spans="1:13" x14ac:dyDescent="0.2">
      <c r="A128" s="190" t="s">
        <v>92</v>
      </c>
      <c r="B128" s="202"/>
      <c r="C128" s="141">
        <f>SUM('July 2015'!C128+'Aug 2015'!C128+'Sept 2015'!C128+'Oct. 2015'!C128+'Nov 2015'!C128+'Dec. 2015'!C128+'Jan. 2016'!C128+'Feb. 2016'!C128+'March 2016'!C128+'April 2016'!C128+'May 2016'!C128+'June 2016'!C128)</f>
        <v>13576</v>
      </c>
      <c r="D128" s="2" t="s">
        <v>155</v>
      </c>
    </row>
    <row r="129" spans="1:13" x14ac:dyDescent="0.2">
      <c r="A129" s="38"/>
    </row>
    <row r="130" spans="1:13" x14ac:dyDescent="0.2">
      <c r="A130" s="186" t="s">
        <v>96</v>
      </c>
      <c r="B130" s="187"/>
      <c r="C130" s="192"/>
      <c r="D130" s="192"/>
      <c r="E130" s="192"/>
      <c r="F130" s="40"/>
      <c r="G130" s="40"/>
      <c r="H130" s="40"/>
      <c r="I130" s="40"/>
      <c r="J130" s="40"/>
      <c r="K130" s="40"/>
      <c r="L130" s="41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74" t="s">
        <v>14</v>
      </c>
    </row>
    <row r="132" spans="1:13" x14ac:dyDescent="0.2">
      <c r="A132" s="38"/>
      <c r="B132" s="60" t="s">
        <v>195</v>
      </c>
      <c r="C132" s="136">
        <f>SUM('July 2015'!C132+'Aug 2015'!C132+'Sept 2015'!C132+'Oct. 2015'!C132+'Nov 2015'!C132+'Dec. 2015'!C132+'Jan. 2016'!C132+'Feb. 2016'!C132+'March 2016'!C132+'April 2016'!C132+'May 2016'!C132+'June 2016'!C132)</f>
        <v>1420</v>
      </c>
      <c r="D132" s="136">
        <f>SUM('July 2015'!D132+'Aug 2015'!D132+'Sept 2015'!D132+'Oct. 2015'!D132+'Nov 2015'!D132+'Dec. 2015'!D132+'Jan. 2016'!D132+'Feb. 2016'!D132+'March 2016'!D132+'April 2016'!D132+'May 2016'!D132+'June 2016'!D132)</f>
        <v>573</v>
      </c>
      <c r="E132" s="136">
        <f>SUM('July 2015'!E132+'Aug 2015'!E132+'Sept 2015'!E132+'Oct. 2015'!E132+'Nov 2015'!E132+'Dec. 2015'!E132+'Jan. 2016'!E132+'Feb. 2016'!E132+'March 2016'!E132+'April 2016'!E132+'May 2016'!E132+'June 2016'!E132)</f>
        <v>7413</v>
      </c>
      <c r="F132" s="136">
        <f>SUM('July 2015'!F132+'Aug 2015'!F132+'Sept 2015'!F132+'Oct. 2015'!F132+'Nov 2015'!F132+'Dec. 2015'!F132+'Jan. 2016'!F132+'Feb. 2016'!F132+'March 2016'!F132+'April 2016'!F132+'May 2016'!F132+'June 2016'!F132)</f>
        <v>5084</v>
      </c>
      <c r="G132" s="136">
        <f>SUM('July 2015'!G132+'Aug 2015'!G132+'Sept 2015'!G132+'Oct. 2015'!G132+'Nov 2015'!G132+'Dec. 2015'!G132+'Jan. 2016'!G132+'Feb. 2016'!G132+'March 2016'!G132+'April 2016'!G132+'May 2016'!G132+'June 2016'!G132)</f>
        <v>2705</v>
      </c>
      <c r="H132" s="136">
        <f>SUM('July 2015'!H132+'Aug 2015'!H132+'Sept 2015'!H132+'Oct. 2015'!H132+'Nov 2015'!H132+'Dec. 2015'!H132+'Jan. 2016'!H132+'Feb. 2016'!H132+'March 2016'!H132+'April 2016'!H132+'May 2016'!H132+'June 2016'!H132)</f>
        <v>207</v>
      </c>
      <c r="I132" s="136">
        <f>SUM('July 2015'!I132+'Aug 2015'!I132+'Sept 2015'!I132+'Oct. 2015'!I132+'Nov 2015'!I132+'Dec. 2015'!I132+'Jan. 2016'!I132+'Feb. 2016'!I132+'March 2016'!I132+'April 2016'!I132+'May 2016'!I132+'June 2016'!I132)</f>
        <v>839</v>
      </c>
      <c r="J132" s="136">
        <f>SUM('July 2015'!J132+'Aug 2015'!J132+'Sept 2015'!J132+'Oct. 2015'!J132+'Nov 2015'!J132+'Dec. 2015'!J132+'Jan. 2016'!J132+'Feb. 2016'!J132+'March 2016'!J132+'April 2016'!J132+'May 2016'!J132+'June 2016'!J132)</f>
        <v>3168</v>
      </c>
      <c r="K132" s="136">
        <f>SUM('July 2015'!K132+'Aug 2015'!K132+'Sept 2015'!K132+'Oct. 2015'!K132+'Nov 2015'!K132+'Dec. 2015'!K132+'Jan. 2016'!K132+'Feb. 2016'!K132+'March 2016'!K132+'April 2016'!K132+'May 2016'!K132+'June 2016'!K132)</f>
        <v>6247</v>
      </c>
      <c r="L132" s="61">
        <f>SUM(C132:K132)</f>
        <v>27656</v>
      </c>
    </row>
    <row r="133" spans="1:13" x14ac:dyDescent="0.2">
      <c r="A133" s="38"/>
      <c r="B133" s="60" t="s">
        <v>9</v>
      </c>
      <c r="C133" s="178" t="s">
        <v>181</v>
      </c>
      <c r="D133" s="178" t="s">
        <v>181</v>
      </c>
      <c r="E133" s="178" t="s">
        <v>181</v>
      </c>
      <c r="F133" s="179">
        <f>SUM('July 2015'!F133+'Aug 2015'!F133+'Sept 2015'!F133+'Oct. 2015'!F133+'Nov 2015'!F133+'Dec. 2015'!F133+'Jan. 2016'!F133+'Feb. 2016'!F133+'March 2016'!F133+'April 2016'!F133+'May 2016'!F133+'June 2016'!F133)</f>
        <v>2980</v>
      </c>
      <c r="G133" s="178" t="s">
        <v>181</v>
      </c>
      <c r="H133" s="178" t="s">
        <v>181</v>
      </c>
      <c r="I133" s="178" t="s">
        <v>181</v>
      </c>
      <c r="J133" s="179">
        <f>SUM('July 2015'!J133+'Aug 2015'!J133+'Sept 2015'!J133+'Oct. 2015'!J133+'Nov 2015'!J133+'Dec. 2015'!J133+'Jan. 2016'!J133+'Feb. 2016'!J133+'March 2016'!J133+'April 2016'!J133+'May 2016'!J133+'June 2016'!J133)</f>
        <v>2316</v>
      </c>
      <c r="K133" s="178" t="s">
        <v>181</v>
      </c>
      <c r="L133" s="61">
        <f>SUM(C133:K133)</f>
        <v>5296</v>
      </c>
    </row>
    <row r="134" spans="1:13" ht="13.5" thickBot="1" x14ac:dyDescent="0.25">
      <c r="A134" s="38"/>
      <c r="B134" s="16" t="s">
        <v>196</v>
      </c>
      <c r="C134" s="137">
        <f>SUM('July 2015'!C134+'Aug 2015'!C134+'Sept 2015'!C134+'Oct. 2015'!C134+'Nov 2015'!C134+'Dec. 2015'!C134+'Jan. 2016'!C134+'Feb. 2016'!C134+'March 2016'!C134+'April 2016'!C134+'May 2016'!C134+'June 2016'!C134)</f>
        <v>0</v>
      </c>
      <c r="D134" s="137">
        <f>SUM('July 2015'!D134+'Aug 2015'!D134+'Sept 2015'!D134+'Oct. 2015'!D134+'Nov 2015'!D134+'Dec. 2015'!D134+'Jan. 2016'!D134+'Feb. 2016'!D134+'March 2016'!D134+'April 2016'!D134+'May 2016'!D134+'June 2016'!D134)</f>
        <v>41</v>
      </c>
      <c r="E134" s="137">
        <f>SUM('July 2015'!E134+'Aug 2015'!E134+'Sept 2015'!E134+'Oct. 2015'!E134+'Nov 2015'!E134+'Dec. 2015'!E134+'Jan. 2016'!E134+'Feb. 2016'!E134+'March 2016'!E134+'April 2016'!E134+'May 2016'!E134+'June 2016'!E134)</f>
        <v>16</v>
      </c>
      <c r="F134" s="137">
        <f>SUM('July 2015'!F134+'Aug 2015'!F134+'Sept 2015'!F134+'Oct. 2015'!F134+'Nov 2015'!F134+'Dec. 2015'!F134+'Jan. 2016'!F134+'Feb. 2016'!F134+'March 2016'!F134+'April 2016'!F134+'May 2016'!F134+'June 2016'!F134)</f>
        <v>59</v>
      </c>
      <c r="G134" s="137">
        <f>SUM('July 2015'!G134+'Aug 2015'!G134+'Sept 2015'!G134+'Oct. 2015'!G134+'Nov 2015'!G134+'Dec. 2015'!G134+'Jan. 2016'!G134+'Feb. 2016'!G134+'March 2016'!G134+'April 2016'!G134+'May 2016'!G134+'June 2016'!G134)</f>
        <v>0</v>
      </c>
      <c r="H134" s="137">
        <f>SUM('July 2015'!H134+'Aug 2015'!H134+'Sept 2015'!H134+'Oct. 2015'!H134+'Nov 2015'!H134+'Dec. 2015'!H134+'Jan. 2016'!H134+'Feb. 2016'!H134+'March 2016'!H134+'April 2016'!H134+'May 2016'!H134+'June 2016'!H134)</f>
        <v>10</v>
      </c>
      <c r="I134" s="180" t="s">
        <v>181</v>
      </c>
      <c r="J134" s="137">
        <f>SUM('July 2015'!J134+'Aug 2015'!J134+'Sept 2015'!J134+'Oct. 2015'!J134+'Nov 2015'!J134+'Dec. 2015'!J134+'Jan. 2016'!J134+'Feb. 2016'!J134+'March 2016'!J134+'April 2016'!J134+'May 2016'!J134+'June 2016'!J134)</f>
        <v>24</v>
      </c>
      <c r="K134" s="137">
        <f>SUM('July 2015'!K134+'Aug 2015'!K134+'Sept 2015'!K134+'Oct. 2015'!K134+'Nov 2015'!K134+'Dec. 2015'!K134+'Jan. 2016'!K134+'Feb. 2016'!K134+'March 2016'!K134+'April 2016'!K134+'May 2016'!K134+'June 2016'!K134)</f>
        <v>15</v>
      </c>
      <c r="L134" s="177">
        <f>SUM(C134:K134)</f>
        <v>165</v>
      </c>
    </row>
    <row r="135" spans="1:13" ht="13.5" thickTop="1" x14ac:dyDescent="0.2">
      <c r="A135" s="38"/>
      <c r="B135" s="60" t="s">
        <v>14</v>
      </c>
      <c r="C135" s="36">
        <f>SUM(C132:C134)</f>
        <v>1420</v>
      </c>
      <c r="D135" s="36">
        <f>SUM(D132:D134)</f>
        <v>614</v>
      </c>
      <c r="E135" s="36">
        <f t="shared" ref="E135:L135" si="7">SUM(E132:E134)</f>
        <v>7429</v>
      </c>
      <c r="F135" s="36">
        <f t="shared" si="7"/>
        <v>8123</v>
      </c>
      <c r="G135" s="36">
        <f t="shared" si="7"/>
        <v>2705</v>
      </c>
      <c r="H135" s="36">
        <f t="shared" si="7"/>
        <v>217</v>
      </c>
      <c r="I135" s="36">
        <f t="shared" si="7"/>
        <v>839</v>
      </c>
      <c r="J135" s="36">
        <f t="shared" si="7"/>
        <v>5508</v>
      </c>
      <c r="K135" s="36">
        <f t="shared" si="7"/>
        <v>6262</v>
      </c>
      <c r="L135" s="49">
        <f t="shared" si="7"/>
        <v>33117</v>
      </c>
    </row>
    <row r="136" spans="1:13" x14ac:dyDescent="0.2">
      <c r="A136" s="3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4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6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x14ac:dyDescent="0.2">
      <c r="A139" s="89"/>
      <c r="B139" s="28"/>
      <c r="C139" s="82"/>
      <c r="D139" s="82"/>
      <c r="E139" s="82"/>
      <c r="F139" s="82"/>
      <c r="G139" s="85"/>
      <c r="H139" s="85"/>
      <c r="I139" s="85"/>
      <c r="J139" s="85"/>
      <c r="K139" s="84"/>
      <c r="L139" s="84"/>
      <c r="M139" s="27"/>
    </row>
    <row r="142" spans="1:13" x14ac:dyDescent="0.2">
      <c r="I142" s="36"/>
      <c r="J142" s="36"/>
      <c r="K142" s="36"/>
      <c r="L142" s="36"/>
    </row>
    <row r="143" spans="1:13" x14ac:dyDescent="0.2">
      <c r="I143" s="36"/>
      <c r="J143" s="36"/>
      <c r="K143" s="36"/>
      <c r="L143" s="36"/>
    </row>
    <row r="153" spans="6:10" ht="18" x14ac:dyDescent="0.25">
      <c r="F153" s="14"/>
      <c r="G153" s="12"/>
      <c r="H153" s="15"/>
      <c r="I153" s="15"/>
      <c r="J153" s="12"/>
    </row>
    <row r="182" spans="1:13" ht="18" x14ac:dyDescent="0.25">
      <c r="A182" s="89"/>
      <c r="B182" s="27"/>
      <c r="C182" s="27"/>
      <c r="D182" s="27"/>
      <c r="E182" s="27"/>
      <c r="F182" s="82"/>
      <c r="G182" s="83"/>
      <c r="H182" s="83"/>
      <c r="I182" s="82"/>
      <c r="J182" s="83"/>
      <c r="K182" s="84"/>
      <c r="L182" s="84"/>
      <c r="M182" s="27"/>
    </row>
  </sheetData>
  <pageMargins left="0.5" right="0.5" top="0.5" bottom="0.5" header="0.5" footer="0.5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9"/>
  <sheetViews>
    <sheetView view="pageLayout" topLeftCell="A145" zoomScaleNormal="100" workbookViewId="0">
      <selection activeCell="O39" sqref="O3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182" t="s">
        <v>104</v>
      </c>
      <c r="F1" s="182"/>
      <c r="G1" s="183"/>
      <c r="H1" s="183"/>
      <c r="I1" s="183"/>
      <c r="J1" s="185"/>
    </row>
    <row r="2" spans="1:18" ht="18" x14ac:dyDescent="0.25">
      <c r="F2" s="184"/>
      <c r="G2" s="185">
        <v>42217</v>
      </c>
      <c r="H2" s="183"/>
      <c r="I2" s="183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5" t="s">
        <v>14</v>
      </c>
    </row>
    <row r="7" spans="1:18" x14ac:dyDescent="0.2">
      <c r="A7" s="38"/>
      <c r="B7" s="36" t="s">
        <v>16</v>
      </c>
      <c r="C7" s="36">
        <v>45</v>
      </c>
      <c r="D7" s="36">
        <v>1</v>
      </c>
      <c r="E7" s="36">
        <v>42</v>
      </c>
      <c r="F7" s="72">
        <v>126</v>
      </c>
      <c r="G7" s="72">
        <v>72</v>
      </c>
      <c r="H7" s="72">
        <v>0</v>
      </c>
      <c r="I7" s="72">
        <v>0</v>
      </c>
      <c r="J7" s="72">
        <v>82</v>
      </c>
      <c r="K7" s="72">
        <v>38</v>
      </c>
      <c r="L7" s="72">
        <v>0</v>
      </c>
      <c r="M7" s="61">
        <f>SUM(C7:L7)</f>
        <v>406</v>
      </c>
    </row>
    <row r="8" spans="1:18" x14ac:dyDescent="0.2">
      <c r="A8" s="38"/>
      <c r="B8" s="57" t="s">
        <v>156</v>
      </c>
      <c r="C8" s="36">
        <v>8</v>
      </c>
      <c r="D8" s="36">
        <v>0</v>
      </c>
      <c r="E8" s="36">
        <v>4</v>
      </c>
      <c r="F8" s="72">
        <v>5</v>
      </c>
      <c r="G8" s="72">
        <v>18</v>
      </c>
      <c r="H8" s="72">
        <v>0</v>
      </c>
      <c r="I8" s="72">
        <v>0</v>
      </c>
      <c r="J8" s="72">
        <v>4</v>
      </c>
      <c r="K8" s="72">
        <v>6</v>
      </c>
      <c r="L8" s="72">
        <v>11</v>
      </c>
      <c r="M8" s="61">
        <f>SUM(C8:L8)</f>
        <v>56</v>
      </c>
    </row>
    <row r="9" spans="1:18" ht="13.5" thickBot="1" x14ac:dyDescent="0.25">
      <c r="A9" s="38"/>
      <c r="B9" s="57" t="s">
        <v>157</v>
      </c>
      <c r="C9" s="3">
        <v>24</v>
      </c>
      <c r="D9" s="3">
        <v>0</v>
      </c>
      <c r="E9" s="3">
        <v>4</v>
      </c>
      <c r="F9" s="3">
        <v>129</v>
      </c>
      <c r="G9" s="3">
        <v>0</v>
      </c>
      <c r="H9" s="3">
        <v>0</v>
      </c>
      <c r="I9" s="3">
        <v>0</v>
      </c>
      <c r="J9" s="3">
        <v>17</v>
      </c>
      <c r="K9" s="3">
        <v>4</v>
      </c>
      <c r="L9" s="3">
        <v>0</v>
      </c>
      <c r="M9" s="59">
        <f>SUM(C9:L9)</f>
        <v>178</v>
      </c>
    </row>
    <row r="10" spans="1:18" ht="13.5" thickTop="1" x14ac:dyDescent="0.2">
      <c r="A10" s="48"/>
      <c r="B10" s="65" t="s">
        <v>14</v>
      </c>
      <c r="C10" s="45">
        <f>SUM(C7:C9)</f>
        <v>77</v>
      </c>
      <c r="D10" s="45">
        <f t="shared" ref="D10:M10" si="0">SUM(D7:D9)</f>
        <v>1</v>
      </c>
      <c r="E10" s="45">
        <f t="shared" si="0"/>
        <v>50</v>
      </c>
      <c r="F10" s="45">
        <f t="shared" si="0"/>
        <v>260</v>
      </c>
      <c r="G10" s="45">
        <f t="shared" si="0"/>
        <v>90</v>
      </c>
      <c r="H10" s="45">
        <f t="shared" si="0"/>
        <v>0</v>
      </c>
      <c r="I10" s="45">
        <f t="shared" si="0"/>
        <v>0</v>
      </c>
      <c r="J10" s="45">
        <f t="shared" si="0"/>
        <v>103</v>
      </c>
      <c r="K10" s="45">
        <f t="shared" si="0"/>
        <v>48</v>
      </c>
      <c r="L10" s="45">
        <f t="shared" si="0"/>
        <v>11</v>
      </c>
      <c r="M10" s="45">
        <f t="shared" si="0"/>
        <v>640</v>
      </c>
    </row>
    <row r="11" spans="1:18" x14ac:dyDescent="0.2">
      <c r="A11" s="38"/>
      <c r="B11" s="60"/>
      <c r="C11" s="36"/>
      <c r="D11" s="57"/>
      <c r="E11" s="36"/>
      <c r="F11" s="36"/>
      <c r="G11" s="36"/>
      <c r="H11" s="36"/>
      <c r="I11" s="36"/>
      <c r="J11" s="36"/>
      <c r="K11" s="36"/>
      <c r="L11" s="36"/>
      <c r="M11" s="43"/>
    </row>
    <row r="12" spans="1:18" x14ac:dyDescent="0.2">
      <c r="A12" s="63" t="s">
        <v>52</v>
      </c>
      <c r="B12" s="64"/>
      <c r="C12" s="157">
        <v>3236</v>
      </c>
      <c r="D12" s="158">
        <v>80</v>
      </c>
      <c r="E12" s="157">
        <v>28261</v>
      </c>
      <c r="F12" s="158">
        <v>11763</v>
      </c>
      <c r="G12" s="158">
        <v>9422</v>
      </c>
      <c r="H12" s="158">
        <v>106</v>
      </c>
      <c r="I12" s="158">
        <v>62</v>
      </c>
      <c r="J12" s="158">
        <v>10980</v>
      </c>
      <c r="K12" s="158">
        <v>1916</v>
      </c>
      <c r="L12" s="158"/>
      <c r="M12" s="159">
        <f>SUM(C12:K12)</f>
        <v>65826</v>
      </c>
      <c r="N12" s="27"/>
    </row>
    <row r="13" spans="1:18" x14ac:dyDescent="0.2">
      <c r="A13" s="57" t="s">
        <v>122</v>
      </c>
      <c r="B13" s="60"/>
      <c r="C13" s="57"/>
      <c r="D13" s="36"/>
      <c r="E13" s="36"/>
      <c r="F13" s="128"/>
      <c r="G13" s="128"/>
      <c r="H13" s="128"/>
      <c r="I13" s="128"/>
      <c r="J13" s="128"/>
      <c r="K13" s="128"/>
      <c r="L13" s="128"/>
      <c r="R13" s="94"/>
    </row>
    <row r="16" spans="1:18" x14ac:dyDescent="0.2">
      <c r="A16" s="181" t="s">
        <v>55</v>
      </c>
      <c r="B16" s="181"/>
      <c r="C16" s="188"/>
      <c r="D16" s="205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58" t="s">
        <v>8</v>
      </c>
      <c r="B18" s="50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58</v>
      </c>
      <c r="D19" s="36">
        <v>2</v>
      </c>
      <c r="E19" s="36">
        <v>163</v>
      </c>
      <c r="F19" s="4">
        <v>205</v>
      </c>
      <c r="G19" s="4">
        <v>132</v>
      </c>
      <c r="H19" s="4">
        <v>1</v>
      </c>
      <c r="I19" s="4">
        <v>4</v>
      </c>
      <c r="J19" s="4">
        <v>85</v>
      </c>
      <c r="K19" s="4">
        <v>58</v>
      </c>
      <c r="L19" s="43">
        <f>SUM(C19:K19)</f>
        <v>708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2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5</v>
      </c>
      <c r="L20" s="61">
        <f>SUM(C20:K20)</f>
        <v>9</v>
      </c>
    </row>
    <row r="21" spans="1:13" x14ac:dyDescent="0.2">
      <c r="A21" s="38"/>
      <c r="B21" s="36" t="s">
        <v>11</v>
      </c>
      <c r="C21" s="4">
        <v>2</v>
      </c>
      <c r="D21" s="4">
        <v>0</v>
      </c>
      <c r="E21" s="4">
        <v>17</v>
      </c>
      <c r="F21" s="4">
        <v>20</v>
      </c>
      <c r="G21" s="4">
        <v>23</v>
      </c>
      <c r="H21" s="4">
        <v>1</v>
      </c>
      <c r="I21" s="4">
        <v>0</v>
      </c>
      <c r="J21" s="4">
        <v>28</v>
      </c>
      <c r="K21" s="4">
        <v>2</v>
      </c>
      <c r="L21" s="61">
        <f>SUM(C21:K21)</f>
        <v>93</v>
      </c>
    </row>
    <row r="22" spans="1:13" x14ac:dyDescent="0.2">
      <c r="A22" s="38"/>
      <c r="B22" s="36" t="s">
        <v>10</v>
      </c>
      <c r="C22" s="4">
        <v>6</v>
      </c>
      <c r="D22" s="4">
        <v>3</v>
      </c>
      <c r="E22" s="4">
        <v>9</v>
      </c>
      <c r="F22" s="4">
        <v>55</v>
      </c>
      <c r="G22" s="4">
        <v>20</v>
      </c>
      <c r="H22" s="4">
        <v>1</v>
      </c>
      <c r="I22" s="4">
        <v>2</v>
      </c>
      <c r="J22" s="4">
        <v>29</v>
      </c>
      <c r="K22" s="4">
        <v>5</v>
      </c>
      <c r="L22" s="61">
        <f>SUM(C22:K22)</f>
        <v>130</v>
      </c>
    </row>
    <row r="23" spans="1:13" ht="13.5" thickBot="1" x14ac:dyDescent="0.25">
      <c r="A23" s="38"/>
      <c r="B23" s="36" t="s">
        <v>9</v>
      </c>
      <c r="C23" s="3">
        <v>156</v>
      </c>
      <c r="D23" s="3">
        <v>86</v>
      </c>
      <c r="E23" s="3">
        <v>527</v>
      </c>
      <c r="F23" s="3">
        <v>483</v>
      </c>
      <c r="G23" s="3">
        <v>247</v>
      </c>
      <c r="H23" s="3">
        <v>13</v>
      </c>
      <c r="I23" s="3">
        <v>13</v>
      </c>
      <c r="J23" s="3">
        <v>810</v>
      </c>
      <c r="K23" s="3">
        <v>231</v>
      </c>
      <c r="L23" s="59">
        <f>SUM(C23:K23)</f>
        <v>2566</v>
      </c>
    </row>
    <row r="24" spans="1:13" ht="13.5" thickTop="1" x14ac:dyDescent="0.2">
      <c r="A24" s="38"/>
      <c r="B24" s="60" t="s">
        <v>14</v>
      </c>
      <c r="C24" s="36">
        <f>SUM(C19:C23)</f>
        <v>223</v>
      </c>
      <c r="D24" s="36">
        <f t="shared" ref="D24:L24" si="1">SUM(D19:D23)</f>
        <v>91</v>
      </c>
      <c r="E24" s="36">
        <f t="shared" si="1"/>
        <v>718</v>
      </c>
      <c r="F24" s="36">
        <f t="shared" si="1"/>
        <v>763</v>
      </c>
      <c r="G24" s="36">
        <f t="shared" si="1"/>
        <v>423</v>
      </c>
      <c r="H24" s="36">
        <f t="shared" si="1"/>
        <v>16</v>
      </c>
      <c r="I24" s="36">
        <f t="shared" si="1"/>
        <v>19</v>
      </c>
      <c r="J24" s="36">
        <f t="shared" si="1"/>
        <v>952</v>
      </c>
      <c r="K24" s="36">
        <f t="shared" si="1"/>
        <v>301</v>
      </c>
      <c r="L24" s="43">
        <f t="shared" si="1"/>
        <v>3506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4.25</v>
      </c>
      <c r="D27" s="87">
        <v>0</v>
      </c>
      <c r="E27" s="87">
        <v>104</v>
      </c>
      <c r="F27" s="87">
        <v>39</v>
      </c>
      <c r="G27" s="87">
        <v>83.75</v>
      </c>
      <c r="H27" s="87">
        <v>0</v>
      </c>
      <c r="I27" s="87">
        <v>0</v>
      </c>
      <c r="J27" s="87">
        <v>30.25</v>
      </c>
      <c r="K27" s="87">
        <v>13</v>
      </c>
      <c r="L27" s="87">
        <v>0</v>
      </c>
      <c r="M27" s="87">
        <f>SUM(C27:L27)</f>
        <v>274.25</v>
      </c>
    </row>
    <row r="29" spans="1:13" x14ac:dyDescent="0.2">
      <c r="A29" s="186" t="s">
        <v>66</v>
      </c>
      <c r="B29" s="207"/>
      <c r="C29" s="192"/>
      <c r="D29" s="194"/>
    </row>
    <row r="30" spans="1:13" x14ac:dyDescent="0.2">
      <c r="B30" s="47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73" t="s">
        <v>14</v>
      </c>
    </row>
    <row r="31" spans="1:13" x14ac:dyDescent="0.2">
      <c r="B31" s="71" t="s">
        <v>17</v>
      </c>
      <c r="C31" s="36">
        <v>100</v>
      </c>
      <c r="D31" s="36">
        <v>118</v>
      </c>
      <c r="E31" s="36">
        <v>280</v>
      </c>
      <c r="F31" s="4">
        <v>184</v>
      </c>
      <c r="G31" s="4">
        <v>207</v>
      </c>
      <c r="H31" s="4">
        <v>285</v>
      </c>
      <c r="I31" s="4">
        <v>2</v>
      </c>
      <c r="J31" s="4">
        <v>331</v>
      </c>
      <c r="K31" s="4">
        <v>118</v>
      </c>
      <c r="L31" s="61">
        <f t="shared" ref="L31:L36" si="2">SUM(C31:K31)</f>
        <v>1625</v>
      </c>
    </row>
    <row r="32" spans="1:13" x14ac:dyDescent="0.2">
      <c r="B32" s="71" t="s">
        <v>18</v>
      </c>
      <c r="C32" s="36">
        <v>0</v>
      </c>
      <c r="D32" s="36">
        <v>0</v>
      </c>
      <c r="E32" s="36">
        <v>15</v>
      </c>
      <c r="F32" s="4">
        <v>88</v>
      </c>
      <c r="G32" s="4">
        <v>33</v>
      </c>
      <c r="H32" s="4">
        <v>0</v>
      </c>
      <c r="I32" s="4">
        <v>1</v>
      </c>
      <c r="J32" s="4">
        <v>20</v>
      </c>
      <c r="K32" s="4">
        <v>0</v>
      </c>
      <c r="L32" s="61">
        <f t="shared" si="2"/>
        <v>157</v>
      </c>
    </row>
    <row r="33" spans="1:12" x14ac:dyDescent="0.2">
      <c r="B33" s="71" t="s">
        <v>20</v>
      </c>
      <c r="C33" s="36">
        <v>154</v>
      </c>
      <c r="D33" s="36">
        <v>65</v>
      </c>
      <c r="E33" s="36">
        <v>495</v>
      </c>
      <c r="F33" s="36">
        <v>330</v>
      </c>
      <c r="G33" s="4">
        <v>301</v>
      </c>
      <c r="H33" s="4">
        <v>0</v>
      </c>
      <c r="I33" s="4">
        <v>0</v>
      </c>
      <c r="J33" s="4">
        <v>302</v>
      </c>
      <c r="K33" s="36">
        <v>0</v>
      </c>
      <c r="L33" s="61">
        <f t="shared" si="2"/>
        <v>1647</v>
      </c>
    </row>
    <row r="34" spans="1:12" x14ac:dyDescent="0.2">
      <c r="B34" s="71" t="s">
        <v>113</v>
      </c>
      <c r="C34" s="4">
        <f>21+17</f>
        <v>38</v>
      </c>
      <c r="D34" s="4">
        <f>27+6</f>
        <v>33</v>
      </c>
      <c r="E34" s="4">
        <f>23+8</f>
        <v>31</v>
      </c>
      <c r="F34" s="4">
        <f>39+20</f>
        <v>59</v>
      </c>
      <c r="G34" s="4">
        <f>9+1</f>
        <v>10</v>
      </c>
      <c r="H34" s="4">
        <f>8+9</f>
        <v>17</v>
      </c>
      <c r="I34" s="4">
        <f>4+9</f>
        <v>13</v>
      </c>
      <c r="J34" s="4">
        <f>6+32</f>
        <v>38</v>
      </c>
      <c r="K34" s="4">
        <v>9</v>
      </c>
      <c r="L34" s="61">
        <f t="shared" si="2"/>
        <v>248</v>
      </c>
    </row>
    <row r="35" spans="1:12" ht="13.5" thickBot="1" x14ac:dyDescent="0.25">
      <c r="B35" s="153" t="s">
        <v>19</v>
      </c>
      <c r="C35" s="3">
        <f>SUM(C76)</f>
        <v>0</v>
      </c>
      <c r="D35" s="3">
        <f t="shared" ref="D35:K35" si="3">SUM(D76)</f>
        <v>0</v>
      </c>
      <c r="E35" s="3">
        <f t="shared" si="3"/>
        <v>3</v>
      </c>
      <c r="F35" s="3">
        <f t="shared" si="3"/>
        <v>3</v>
      </c>
      <c r="G35" s="3">
        <f t="shared" si="3"/>
        <v>4</v>
      </c>
      <c r="H35" s="3">
        <f t="shared" si="3"/>
        <v>0</v>
      </c>
      <c r="I35" s="3">
        <f t="shared" si="3"/>
        <v>0</v>
      </c>
      <c r="J35" s="3">
        <f t="shared" si="3"/>
        <v>7</v>
      </c>
      <c r="K35" s="3">
        <f t="shared" si="3"/>
        <v>1</v>
      </c>
      <c r="L35" s="150">
        <f t="shared" si="2"/>
        <v>18</v>
      </c>
    </row>
    <row r="36" spans="1:12" ht="13.5" thickTop="1" x14ac:dyDescent="0.2">
      <c r="B36" s="69" t="s">
        <v>14</v>
      </c>
      <c r="C36" s="45">
        <f t="shared" ref="C36:K36" si="4">SUM(C31:C35)</f>
        <v>292</v>
      </c>
      <c r="D36" s="45">
        <f t="shared" si="4"/>
        <v>216</v>
      </c>
      <c r="E36" s="45">
        <f t="shared" si="4"/>
        <v>824</v>
      </c>
      <c r="F36" s="45">
        <f t="shared" si="4"/>
        <v>664</v>
      </c>
      <c r="G36" s="45">
        <f t="shared" si="4"/>
        <v>555</v>
      </c>
      <c r="H36" s="45">
        <f t="shared" si="4"/>
        <v>302</v>
      </c>
      <c r="I36" s="45">
        <f t="shared" si="4"/>
        <v>16</v>
      </c>
      <c r="J36" s="45">
        <f t="shared" si="4"/>
        <v>698</v>
      </c>
      <c r="K36" s="45">
        <f t="shared" si="4"/>
        <v>128</v>
      </c>
      <c r="L36" s="95">
        <f t="shared" si="2"/>
        <v>3695</v>
      </c>
    </row>
    <row r="38" spans="1:12" x14ac:dyDescent="0.2">
      <c r="A38" s="186" t="s">
        <v>57</v>
      </c>
      <c r="B38" s="187"/>
      <c r="C38" s="40">
        <v>12</v>
      </c>
      <c r="D38" s="40">
        <v>1</v>
      </c>
      <c r="E38" s="40">
        <v>6</v>
      </c>
      <c r="F38" s="66">
        <v>8</v>
      </c>
      <c r="G38" s="66">
        <v>12</v>
      </c>
      <c r="H38" s="66">
        <v>0</v>
      </c>
      <c r="I38" s="66">
        <v>0</v>
      </c>
      <c r="J38" s="66">
        <v>11</v>
      </c>
      <c r="K38" s="66">
        <v>0</v>
      </c>
      <c r="L38" s="154">
        <f>SUM(C38:K38)</f>
        <v>50</v>
      </c>
    </row>
    <row r="39" spans="1:12" ht="13.5" thickBot="1" x14ac:dyDescent="0.25">
      <c r="A39" s="71" t="s">
        <v>158</v>
      </c>
      <c r="B39" s="60"/>
      <c r="C39" s="3">
        <v>0</v>
      </c>
      <c r="D39" s="3">
        <v>0</v>
      </c>
      <c r="E39" s="3">
        <v>0</v>
      </c>
      <c r="F39" s="3">
        <v>6</v>
      </c>
      <c r="G39" s="3">
        <v>0</v>
      </c>
      <c r="H39" s="3">
        <v>0</v>
      </c>
      <c r="I39" s="3">
        <v>0</v>
      </c>
      <c r="J39" s="3">
        <v>23</v>
      </c>
      <c r="K39" s="3">
        <v>0</v>
      </c>
      <c r="L39" s="150">
        <f>SUM(C39:K39)</f>
        <v>29</v>
      </c>
    </row>
    <row r="40" spans="1:12" ht="13.5" thickTop="1" x14ac:dyDescent="0.2">
      <c r="A40" s="71"/>
      <c r="B40" s="60" t="s">
        <v>7</v>
      </c>
      <c r="C40" s="36">
        <f>SUM(C38:C39)</f>
        <v>12</v>
      </c>
      <c r="D40" s="36">
        <f t="shared" ref="D40:K40" si="5">SUM(D38:D39)</f>
        <v>1</v>
      </c>
      <c r="E40" s="36">
        <f t="shared" si="5"/>
        <v>6</v>
      </c>
      <c r="F40" s="36">
        <f t="shared" si="5"/>
        <v>14</v>
      </c>
      <c r="G40" s="36">
        <f t="shared" si="5"/>
        <v>12</v>
      </c>
      <c r="H40" s="36">
        <f t="shared" si="5"/>
        <v>0</v>
      </c>
      <c r="I40" s="36">
        <f t="shared" si="5"/>
        <v>0</v>
      </c>
      <c r="J40" s="36">
        <f t="shared" si="5"/>
        <v>34</v>
      </c>
      <c r="K40" s="36">
        <f t="shared" si="5"/>
        <v>0</v>
      </c>
      <c r="L40" s="155">
        <f>SUM(L38:L39)</f>
        <v>79</v>
      </c>
    </row>
    <row r="41" spans="1:12" x14ac:dyDescent="0.2">
      <c r="A41" s="71"/>
      <c r="B41" s="60"/>
      <c r="C41" s="36"/>
      <c r="D41" s="36"/>
      <c r="E41" s="36"/>
      <c r="F41" s="36"/>
      <c r="G41" s="36"/>
      <c r="H41" s="36"/>
      <c r="I41" s="36"/>
      <c r="J41" s="36"/>
      <c r="K41" s="36"/>
      <c r="L41" s="155"/>
    </row>
    <row r="42" spans="1:12" x14ac:dyDescent="0.2">
      <c r="A42" s="181" t="s">
        <v>56</v>
      </c>
      <c r="B42" s="188"/>
      <c r="C42" s="157">
        <v>0</v>
      </c>
      <c r="D42" s="157">
        <v>0</v>
      </c>
      <c r="E42" s="157">
        <v>0</v>
      </c>
      <c r="F42" s="157">
        <v>0</v>
      </c>
      <c r="G42" s="157">
        <v>0</v>
      </c>
      <c r="H42" s="157">
        <v>0</v>
      </c>
      <c r="I42" s="157">
        <v>0</v>
      </c>
      <c r="J42" s="157">
        <v>0</v>
      </c>
      <c r="K42" s="157">
        <v>0</v>
      </c>
      <c r="L42" s="159">
        <f>SUM(C42:K42)</f>
        <v>0</v>
      </c>
    </row>
    <row r="43" spans="1:12" x14ac:dyDescent="0.2">
      <c r="A43" s="36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3</v>
      </c>
      <c r="F44" s="40">
        <v>1</v>
      </c>
      <c r="G44" s="40">
        <v>0</v>
      </c>
      <c r="H44" s="40">
        <v>0</v>
      </c>
      <c r="I44" s="40">
        <v>0</v>
      </c>
      <c r="J44" s="40">
        <v>6</v>
      </c>
      <c r="K44" s="40">
        <v>1</v>
      </c>
      <c r="L44" s="41">
        <f>SUM(C44:K44)</f>
        <v>11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38</v>
      </c>
      <c r="F45" s="45">
        <v>20</v>
      </c>
      <c r="G45" s="45">
        <v>0</v>
      </c>
      <c r="H45" s="45">
        <v>0</v>
      </c>
      <c r="I45" s="45">
        <v>0</v>
      </c>
      <c r="J45" s="45">
        <f>99+9+8</f>
        <v>116</v>
      </c>
      <c r="K45" s="45">
        <v>11</v>
      </c>
      <c r="L45" s="46">
        <f>SUM(C45:K45)</f>
        <v>185</v>
      </c>
    </row>
    <row r="46" spans="1:12" x14ac:dyDescent="0.2">
      <c r="A46" s="38"/>
    </row>
    <row r="47" spans="1:12" x14ac:dyDescent="0.2">
      <c r="A47" s="186" t="s">
        <v>240</v>
      </c>
    </row>
    <row r="48" spans="1:12" x14ac:dyDescent="0.2">
      <c r="B48" s="63"/>
      <c r="C48" s="64" t="s">
        <v>3</v>
      </c>
      <c r="D48" s="64" t="s">
        <v>4</v>
      </c>
      <c r="E48" s="64" t="s">
        <v>0</v>
      </c>
      <c r="F48" s="64" t="s">
        <v>1</v>
      </c>
      <c r="G48" s="64" t="s">
        <v>2</v>
      </c>
      <c r="H48" s="64" t="s">
        <v>5</v>
      </c>
      <c r="I48" s="64" t="s">
        <v>6</v>
      </c>
      <c r="J48" s="64" t="s">
        <v>28</v>
      </c>
      <c r="K48" s="64" t="s">
        <v>40</v>
      </c>
      <c r="L48" s="165" t="s">
        <v>14</v>
      </c>
    </row>
    <row r="49" spans="2:12" x14ac:dyDescent="0.2">
      <c r="B49" s="143" t="s">
        <v>73</v>
      </c>
      <c r="C49" s="157"/>
      <c r="D49" s="157"/>
      <c r="E49" s="157"/>
      <c r="F49" s="166"/>
      <c r="G49" s="166"/>
      <c r="H49" s="166"/>
      <c r="I49" s="166"/>
      <c r="J49" s="166"/>
      <c r="K49" s="166"/>
      <c r="L49" s="167">
        <f t="shared" ref="L49:L76" si="6">SUM(C49:K49)</f>
        <v>0</v>
      </c>
    </row>
    <row r="50" spans="2:12" x14ac:dyDescent="0.2">
      <c r="B50" s="115" t="s">
        <v>119</v>
      </c>
      <c r="C50" s="157"/>
      <c r="D50" s="157"/>
      <c r="E50" s="166"/>
      <c r="F50" s="157"/>
      <c r="G50" s="157"/>
      <c r="H50" s="157"/>
      <c r="I50" s="157"/>
      <c r="J50" s="157"/>
      <c r="K50" s="157"/>
      <c r="L50" s="167">
        <f t="shared" si="6"/>
        <v>0</v>
      </c>
    </row>
    <row r="51" spans="2:12" x14ac:dyDescent="0.2">
      <c r="B51" s="115" t="s">
        <v>108</v>
      </c>
      <c r="C51" s="157"/>
      <c r="D51" s="157"/>
      <c r="E51" s="157"/>
      <c r="F51" s="157"/>
      <c r="G51" s="157"/>
      <c r="H51" s="166"/>
      <c r="I51" s="157"/>
      <c r="J51" s="166"/>
      <c r="K51" s="166"/>
      <c r="L51" s="167">
        <f t="shared" si="6"/>
        <v>0</v>
      </c>
    </row>
    <row r="52" spans="2:12" x14ac:dyDescent="0.2">
      <c r="B52" s="115" t="s">
        <v>144</v>
      </c>
      <c r="C52" s="157"/>
      <c r="D52" s="157"/>
      <c r="E52" s="157"/>
      <c r="F52" s="157"/>
      <c r="G52" s="157"/>
      <c r="H52" s="157"/>
      <c r="I52" s="157"/>
      <c r="J52" s="166"/>
      <c r="K52" s="166"/>
      <c r="L52" s="167">
        <f t="shared" si="6"/>
        <v>0</v>
      </c>
    </row>
    <row r="53" spans="2:12" x14ac:dyDescent="0.2">
      <c r="B53" s="115" t="s">
        <v>159</v>
      </c>
      <c r="C53" s="166"/>
      <c r="D53" s="157"/>
      <c r="E53" s="157"/>
      <c r="F53" s="157"/>
      <c r="G53" s="157"/>
      <c r="H53" s="157"/>
      <c r="I53" s="157"/>
      <c r="J53" s="166">
        <v>1</v>
      </c>
      <c r="K53" s="166"/>
      <c r="L53" s="167">
        <f t="shared" si="6"/>
        <v>1</v>
      </c>
    </row>
    <row r="54" spans="2:12" x14ac:dyDescent="0.2">
      <c r="B54" s="115" t="s">
        <v>109</v>
      </c>
      <c r="C54" s="166"/>
      <c r="D54" s="157"/>
      <c r="E54" s="166"/>
      <c r="F54" s="166"/>
      <c r="G54" s="157"/>
      <c r="H54" s="157"/>
      <c r="I54" s="157"/>
      <c r="J54" s="166"/>
      <c r="K54" s="157"/>
      <c r="L54" s="167">
        <f t="shared" si="6"/>
        <v>0</v>
      </c>
    </row>
    <row r="55" spans="2:12" x14ac:dyDescent="0.2">
      <c r="B55" s="115" t="s">
        <v>160</v>
      </c>
      <c r="C55" s="157"/>
      <c r="D55" s="157"/>
      <c r="E55" s="166"/>
      <c r="F55" s="166"/>
      <c r="G55" s="157"/>
      <c r="H55" s="157"/>
      <c r="I55" s="157"/>
      <c r="J55" s="166"/>
      <c r="K55" s="157"/>
      <c r="L55" s="167">
        <f t="shared" si="6"/>
        <v>0</v>
      </c>
    </row>
    <row r="56" spans="2:12" x14ac:dyDescent="0.2">
      <c r="B56" s="115" t="s">
        <v>93</v>
      </c>
      <c r="C56" s="157"/>
      <c r="D56" s="157"/>
      <c r="E56" s="166"/>
      <c r="F56" s="166"/>
      <c r="G56" s="166"/>
      <c r="H56" s="166"/>
      <c r="I56" s="166"/>
      <c r="J56" s="166"/>
      <c r="K56" s="166"/>
      <c r="L56" s="167">
        <f t="shared" si="6"/>
        <v>0</v>
      </c>
    </row>
    <row r="57" spans="2:12" x14ac:dyDescent="0.2">
      <c r="B57" s="115" t="s">
        <v>130</v>
      </c>
      <c r="C57" s="157"/>
      <c r="D57" s="157"/>
      <c r="E57" s="157"/>
      <c r="F57" s="166"/>
      <c r="G57" s="166"/>
      <c r="H57" s="166"/>
      <c r="I57" s="157"/>
      <c r="J57" s="157"/>
      <c r="K57" s="166"/>
      <c r="L57" s="167">
        <f t="shared" si="6"/>
        <v>0</v>
      </c>
    </row>
    <row r="58" spans="2:12" x14ac:dyDescent="0.2">
      <c r="B58" s="115" t="s">
        <v>107</v>
      </c>
      <c r="C58" s="157"/>
      <c r="D58" s="157"/>
      <c r="E58" s="166"/>
      <c r="F58" s="166"/>
      <c r="G58" s="166"/>
      <c r="H58" s="166"/>
      <c r="I58" s="157"/>
      <c r="J58" s="166"/>
      <c r="K58" s="166"/>
      <c r="L58" s="167">
        <f t="shared" si="6"/>
        <v>0</v>
      </c>
    </row>
    <row r="59" spans="2:12" x14ac:dyDescent="0.2">
      <c r="B59" s="115" t="s">
        <v>110</v>
      </c>
      <c r="C59" s="157"/>
      <c r="D59" s="157"/>
      <c r="E59" s="166"/>
      <c r="F59" s="166"/>
      <c r="G59" s="166"/>
      <c r="H59" s="166"/>
      <c r="I59" s="157"/>
      <c r="J59" s="166"/>
      <c r="K59" s="166"/>
      <c r="L59" s="167">
        <f t="shared" si="6"/>
        <v>0</v>
      </c>
    </row>
    <row r="60" spans="2:12" x14ac:dyDescent="0.2">
      <c r="B60" s="115" t="s">
        <v>95</v>
      </c>
      <c r="C60" s="157"/>
      <c r="D60" s="157"/>
      <c r="E60" s="157"/>
      <c r="F60" s="157"/>
      <c r="G60" s="166"/>
      <c r="H60" s="166"/>
      <c r="I60" s="157"/>
      <c r="J60" s="166"/>
      <c r="K60" s="166"/>
      <c r="L60" s="167">
        <f t="shared" si="6"/>
        <v>0</v>
      </c>
    </row>
    <row r="61" spans="2:12" x14ac:dyDescent="0.2">
      <c r="B61" s="143" t="s">
        <v>42</v>
      </c>
      <c r="C61" s="157"/>
      <c r="D61" s="157"/>
      <c r="E61" s="166"/>
      <c r="F61" s="166"/>
      <c r="G61" s="166"/>
      <c r="H61" s="166"/>
      <c r="I61" s="166"/>
      <c r="J61" s="166"/>
      <c r="K61" s="166"/>
      <c r="L61" s="167">
        <f t="shared" si="6"/>
        <v>0</v>
      </c>
    </row>
    <row r="62" spans="2:12" x14ac:dyDescent="0.2">
      <c r="B62" s="143" t="s">
        <v>41</v>
      </c>
      <c r="C62" s="157"/>
      <c r="D62" s="157"/>
      <c r="E62" s="166"/>
      <c r="F62" s="157"/>
      <c r="G62" s="166"/>
      <c r="H62" s="166"/>
      <c r="I62" s="166"/>
      <c r="J62" s="166"/>
      <c r="K62" s="166"/>
      <c r="L62" s="167">
        <f t="shared" si="6"/>
        <v>0</v>
      </c>
    </row>
    <row r="63" spans="2:12" x14ac:dyDescent="0.2">
      <c r="B63" s="143" t="s">
        <v>135</v>
      </c>
      <c r="C63" s="157"/>
      <c r="D63" s="157"/>
      <c r="E63" s="166"/>
      <c r="F63" s="166"/>
      <c r="G63" s="166"/>
      <c r="H63" s="166"/>
      <c r="I63" s="166"/>
      <c r="J63" s="166"/>
      <c r="K63" s="166"/>
      <c r="L63" s="167">
        <f t="shared" si="6"/>
        <v>0</v>
      </c>
    </row>
    <row r="64" spans="2:12" x14ac:dyDescent="0.2">
      <c r="B64" s="143" t="s">
        <v>136</v>
      </c>
      <c r="C64" s="157"/>
      <c r="D64" s="157"/>
      <c r="E64" s="157"/>
      <c r="F64" s="157"/>
      <c r="G64" s="166"/>
      <c r="H64" s="166"/>
      <c r="I64" s="166"/>
      <c r="J64" s="166"/>
      <c r="K64" s="166"/>
      <c r="L64" s="167">
        <f t="shared" si="6"/>
        <v>0</v>
      </c>
    </row>
    <row r="65" spans="1:13" x14ac:dyDescent="0.2">
      <c r="B65" s="115" t="s">
        <v>163</v>
      </c>
      <c r="C65" s="157"/>
      <c r="D65" s="157"/>
      <c r="E65" s="157"/>
      <c r="F65" s="157"/>
      <c r="G65" s="166"/>
      <c r="H65" s="166"/>
      <c r="I65" s="166"/>
      <c r="J65" s="166"/>
      <c r="K65" s="166"/>
      <c r="L65" s="167">
        <f t="shared" si="6"/>
        <v>0</v>
      </c>
    </row>
    <row r="66" spans="1:13" x14ac:dyDescent="0.2">
      <c r="B66" s="143" t="s">
        <v>83</v>
      </c>
      <c r="C66" s="166"/>
      <c r="D66" s="166"/>
      <c r="E66" s="166">
        <v>3</v>
      </c>
      <c r="F66" s="166">
        <v>1</v>
      </c>
      <c r="G66" s="166">
        <v>1</v>
      </c>
      <c r="H66" s="166"/>
      <c r="I66" s="166"/>
      <c r="J66" s="166">
        <v>3</v>
      </c>
      <c r="K66" s="166">
        <v>1</v>
      </c>
      <c r="L66" s="167">
        <f t="shared" si="6"/>
        <v>9</v>
      </c>
    </row>
    <row r="67" spans="1:13" x14ac:dyDescent="0.2">
      <c r="B67" s="115" t="s">
        <v>161</v>
      </c>
      <c r="C67" s="166"/>
      <c r="D67" s="166"/>
      <c r="E67" s="166"/>
      <c r="F67" s="166"/>
      <c r="G67" s="166"/>
      <c r="H67" s="166"/>
      <c r="I67" s="166"/>
      <c r="J67" s="166"/>
      <c r="K67" s="166"/>
      <c r="L67" s="167">
        <f t="shared" si="6"/>
        <v>0</v>
      </c>
    </row>
    <row r="68" spans="1:13" x14ac:dyDescent="0.2">
      <c r="B68" s="115" t="s">
        <v>129</v>
      </c>
      <c r="C68" s="157"/>
      <c r="D68" s="157"/>
      <c r="E68" s="166"/>
      <c r="F68" s="166"/>
      <c r="G68" s="166"/>
      <c r="H68" s="166"/>
      <c r="I68" s="166"/>
      <c r="J68" s="166"/>
      <c r="K68" s="166"/>
      <c r="L68" s="167">
        <f t="shared" si="6"/>
        <v>0</v>
      </c>
    </row>
    <row r="69" spans="1:13" x14ac:dyDescent="0.2">
      <c r="B69" s="115" t="s">
        <v>94</v>
      </c>
      <c r="C69" s="166"/>
      <c r="D69" s="157"/>
      <c r="E69" s="166"/>
      <c r="F69" s="166"/>
      <c r="G69" s="166">
        <v>1</v>
      </c>
      <c r="H69" s="166"/>
      <c r="I69" s="166"/>
      <c r="J69" s="166">
        <v>3</v>
      </c>
      <c r="K69" s="166"/>
      <c r="L69" s="167">
        <f t="shared" si="6"/>
        <v>4</v>
      </c>
    </row>
    <row r="70" spans="1:13" x14ac:dyDescent="0.2">
      <c r="B70" s="115" t="s">
        <v>162</v>
      </c>
      <c r="C70" s="166"/>
      <c r="D70" s="157"/>
      <c r="E70" s="166"/>
      <c r="F70" s="166"/>
      <c r="G70" s="166"/>
      <c r="H70" s="166"/>
      <c r="I70" s="166"/>
      <c r="J70" s="166"/>
      <c r="K70" s="166"/>
      <c r="L70" s="167">
        <f t="shared" si="6"/>
        <v>0</v>
      </c>
    </row>
    <row r="71" spans="1:13" x14ac:dyDescent="0.2">
      <c r="B71" s="115" t="s">
        <v>44</v>
      </c>
      <c r="C71" s="166"/>
      <c r="D71" s="157"/>
      <c r="E71" s="166"/>
      <c r="F71" s="166">
        <v>1</v>
      </c>
      <c r="G71" s="166">
        <v>1</v>
      </c>
      <c r="H71" s="166"/>
      <c r="I71" s="166"/>
      <c r="J71" s="166"/>
      <c r="K71" s="166"/>
      <c r="L71" s="167">
        <f t="shared" si="6"/>
        <v>2</v>
      </c>
    </row>
    <row r="72" spans="1:13" x14ac:dyDescent="0.2">
      <c r="B72" s="115" t="s">
        <v>43</v>
      </c>
      <c r="C72" s="157"/>
      <c r="D72" s="157"/>
      <c r="E72" s="157"/>
      <c r="F72" s="166"/>
      <c r="G72" s="166"/>
      <c r="H72" s="166"/>
      <c r="I72" s="166"/>
      <c r="J72" s="157"/>
      <c r="K72" s="166"/>
      <c r="L72" s="167">
        <f t="shared" si="6"/>
        <v>0</v>
      </c>
    </row>
    <row r="73" spans="1:13" x14ac:dyDescent="0.2">
      <c r="B73" s="115" t="s">
        <v>120</v>
      </c>
      <c r="C73" s="157"/>
      <c r="D73" s="157"/>
      <c r="E73" s="157"/>
      <c r="F73" s="166"/>
      <c r="G73" s="166"/>
      <c r="H73" s="166"/>
      <c r="I73" s="166"/>
      <c r="J73" s="157"/>
      <c r="K73" s="166"/>
      <c r="L73" s="167">
        <f t="shared" si="6"/>
        <v>0</v>
      </c>
    </row>
    <row r="74" spans="1:13" x14ac:dyDescent="0.2">
      <c r="B74" s="143" t="s">
        <v>74</v>
      </c>
      <c r="C74" s="157"/>
      <c r="D74" s="157"/>
      <c r="E74" s="157"/>
      <c r="F74" s="166"/>
      <c r="G74" s="166"/>
      <c r="H74" s="166"/>
      <c r="I74" s="157"/>
      <c r="J74" s="157"/>
      <c r="K74" s="166"/>
      <c r="L74" s="167">
        <f t="shared" si="6"/>
        <v>0</v>
      </c>
    </row>
    <row r="75" spans="1:13" ht="13.5" thickBot="1" x14ac:dyDescent="0.25">
      <c r="B75" s="80" t="s">
        <v>67</v>
      </c>
      <c r="C75" s="3"/>
      <c r="D75" s="3"/>
      <c r="E75" s="3"/>
      <c r="F75" s="3">
        <v>1</v>
      </c>
      <c r="G75" s="3">
        <v>1</v>
      </c>
      <c r="H75" s="3"/>
      <c r="I75" s="3"/>
      <c r="J75" s="3"/>
      <c r="K75" s="3"/>
      <c r="L75" s="61">
        <f t="shared" si="6"/>
        <v>2</v>
      </c>
    </row>
    <row r="76" spans="1:13" ht="13.5" thickTop="1" x14ac:dyDescent="0.2">
      <c r="B76" s="69" t="s">
        <v>7</v>
      </c>
      <c r="C76" s="45">
        <f t="shared" ref="C76:K76" si="7">SUM(C49:C75)</f>
        <v>0</v>
      </c>
      <c r="D76" s="45">
        <f t="shared" si="7"/>
        <v>0</v>
      </c>
      <c r="E76" s="45">
        <f t="shared" si="7"/>
        <v>3</v>
      </c>
      <c r="F76" s="45">
        <f t="shared" si="7"/>
        <v>3</v>
      </c>
      <c r="G76" s="45">
        <f t="shared" si="7"/>
        <v>4</v>
      </c>
      <c r="H76" s="45">
        <f t="shared" si="7"/>
        <v>0</v>
      </c>
      <c r="I76" s="45">
        <f t="shared" si="7"/>
        <v>0</v>
      </c>
      <c r="J76" s="45">
        <f t="shared" si="7"/>
        <v>7</v>
      </c>
      <c r="K76" s="45">
        <f t="shared" si="7"/>
        <v>1</v>
      </c>
      <c r="L76" s="151">
        <f t="shared" si="6"/>
        <v>18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87"/>
      <c r="G78" s="195"/>
      <c r="I78" s="186" t="s">
        <v>45</v>
      </c>
      <c r="J78" s="187"/>
      <c r="K78" s="187"/>
      <c r="L78" s="195"/>
      <c r="M78" s="6"/>
    </row>
    <row r="79" spans="1:13" x14ac:dyDescent="0.2">
      <c r="A79" s="104" t="s">
        <v>123</v>
      </c>
      <c r="C79" s="43">
        <v>2</v>
      </c>
      <c r="D79" s="6"/>
      <c r="E79" s="38" t="s">
        <v>9</v>
      </c>
      <c r="F79" s="36"/>
      <c r="G79" s="43">
        <v>136</v>
      </c>
      <c r="I79" s="42" t="s">
        <v>133</v>
      </c>
      <c r="J79" s="36"/>
      <c r="K79" s="36"/>
      <c r="L79" s="43">
        <v>230</v>
      </c>
      <c r="M79" s="6"/>
    </row>
    <row r="80" spans="1:13" x14ac:dyDescent="0.2">
      <c r="A80" s="42" t="s">
        <v>29</v>
      </c>
      <c r="B80" s="36"/>
      <c r="C80" s="43">
        <v>1</v>
      </c>
      <c r="D80" s="6"/>
      <c r="E80" s="38" t="s">
        <v>10</v>
      </c>
      <c r="F80" s="36"/>
      <c r="G80" s="43">
        <v>102</v>
      </c>
      <c r="I80" s="42" t="s">
        <v>134</v>
      </c>
      <c r="J80" s="36"/>
      <c r="K80" s="36"/>
      <c r="L80" s="43">
        <v>60</v>
      </c>
      <c r="M80" s="6"/>
    </row>
    <row r="81" spans="1:13" x14ac:dyDescent="0.2">
      <c r="A81" s="42" t="s">
        <v>124</v>
      </c>
      <c r="B81" s="36"/>
      <c r="C81" s="43">
        <v>32</v>
      </c>
      <c r="D81" s="6"/>
      <c r="E81" s="38" t="s">
        <v>11</v>
      </c>
      <c r="F81" s="36"/>
      <c r="G81" s="43">
        <v>36</v>
      </c>
      <c r="I81" s="42" t="s">
        <v>46</v>
      </c>
      <c r="J81" s="36"/>
      <c r="K81" s="36"/>
      <c r="L81" s="43">
        <v>9</v>
      </c>
      <c r="M81" s="6"/>
    </row>
    <row r="82" spans="1:13" x14ac:dyDescent="0.2">
      <c r="A82" s="42" t="s">
        <v>125</v>
      </c>
      <c r="B82" s="57"/>
      <c r="C82" s="43">
        <v>140</v>
      </c>
      <c r="D82" s="6"/>
      <c r="E82" s="38" t="s">
        <v>38</v>
      </c>
      <c r="F82" s="36"/>
      <c r="G82" s="43">
        <v>91</v>
      </c>
      <c r="I82" s="42" t="s">
        <v>47</v>
      </c>
      <c r="J82" s="36"/>
      <c r="K82" s="36"/>
      <c r="L82" s="43">
        <v>7</v>
      </c>
      <c r="M82" s="6"/>
    </row>
    <row r="83" spans="1:13" x14ac:dyDescent="0.2">
      <c r="A83" s="42" t="s">
        <v>106</v>
      </c>
      <c r="B83" s="57"/>
      <c r="C83" s="43">
        <v>51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/>
      <c r="M83" s="6"/>
    </row>
    <row r="84" spans="1:13" x14ac:dyDescent="0.2">
      <c r="A84" s="42" t="s">
        <v>146</v>
      </c>
      <c r="B84" s="57"/>
      <c r="C84" s="43">
        <v>8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16</v>
      </c>
    </row>
    <row r="86" spans="1:13" x14ac:dyDescent="0.2">
      <c r="A86" s="42" t="s">
        <v>126</v>
      </c>
      <c r="B86" s="36"/>
      <c r="C86" s="43">
        <v>0</v>
      </c>
      <c r="E86" s="186" t="s">
        <v>31</v>
      </c>
      <c r="F86" s="187"/>
      <c r="G86" s="187"/>
      <c r="H86" s="195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26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16</v>
      </c>
    </row>
    <row r="89" spans="1:13" x14ac:dyDescent="0.2">
      <c r="A89" s="104" t="s">
        <v>18</v>
      </c>
      <c r="C89" s="61">
        <v>9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v>509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97"/>
      <c r="D93" s="197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438</v>
      </c>
      <c r="E95" s="142"/>
      <c r="F95" s="236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>
        <v>0</v>
      </c>
      <c r="E96" s="143"/>
      <c r="F96" s="38"/>
      <c r="H96" s="1"/>
      <c r="I96" s="71" t="s">
        <v>139</v>
      </c>
      <c r="J96" s="60"/>
      <c r="K96" s="36">
        <v>9</v>
      </c>
      <c r="L96" s="36">
        <v>9</v>
      </c>
      <c r="M96" s="43">
        <v>11</v>
      </c>
    </row>
    <row r="97" spans="1:13" x14ac:dyDescent="0.2">
      <c r="A97" s="1"/>
      <c r="B97" s="17" t="s">
        <v>147</v>
      </c>
      <c r="C97" s="17"/>
      <c r="D97" s="39">
        <v>85</v>
      </c>
      <c r="E97" s="143">
        <v>80</v>
      </c>
      <c r="F97" s="38"/>
      <c r="I97" s="42" t="s">
        <v>140</v>
      </c>
      <c r="J97" s="36"/>
      <c r="K97" s="36"/>
      <c r="L97" s="36"/>
      <c r="M97" s="43"/>
    </row>
    <row r="98" spans="1:13" x14ac:dyDescent="0.2">
      <c r="B98" s="22" t="s">
        <v>102</v>
      </c>
      <c r="C98" s="22"/>
      <c r="D98" s="22">
        <v>19</v>
      </c>
      <c r="E98" s="234"/>
      <c r="F98" s="237"/>
      <c r="I98" s="71" t="s">
        <v>154</v>
      </c>
      <c r="J98" s="60"/>
      <c r="K98" s="60">
        <v>0</v>
      </c>
      <c r="L98" s="57">
        <v>0</v>
      </c>
      <c r="M98" s="74">
        <v>0</v>
      </c>
    </row>
    <row r="99" spans="1:13" x14ac:dyDescent="0.2">
      <c r="B99" s="37" t="s">
        <v>151</v>
      </c>
      <c r="C99" s="22"/>
      <c r="D99" s="22">
        <v>0</v>
      </c>
      <c r="E99" s="144"/>
      <c r="F99" s="237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229</v>
      </c>
      <c r="E100" s="144"/>
      <c r="F100" s="237"/>
      <c r="H100" s="1"/>
      <c r="I100" s="69"/>
      <c r="J100" s="65"/>
      <c r="K100" s="98"/>
      <c r="L100" s="98"/>
      <c r="M100" s="99"/>
    </row>
    <row r="101" spans="1:13" x14ac:dyDescent="0.2">
      <c r="B101" s="37" t="s">
        <v>294</v>
      </c>
      <c r="C101" s="22"/>
      <c r="D101" s="242" t="s">
        <v>181</v>
      </c>
      <c r="E101" s="144"/>
      <c r="F101" s="237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145"/>
      <c r="F102" s="238"/>
      <c r="H102" s="1"/>
      <c r="I102" s="199" t="s">
        <v>112</v>
      </c>
      <c r="J102" s="196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271</v>
      </c>
      <c r="E103" s="145"/>
      <c r="F103" s="238"/>
      <c r="I103" s="102" t="s">
        <v>116</v>
      </c>
      <c r="J103" s="40"/>
      <c r="K103" s="103">
        <v>1522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106</v>
      </c>
      <c r="E104" s="145"/>
      <c r="F104" s="238"/>
      <c r="I104" s="106" t="s">
        <v>101</v>
      </c>
      <c r="J104" s="62"/>
      <c r="K104" s="99">
        <v>194</v>
      </c>
      <c r="L104" s="93"/>
      <c r="M104" s="93"/>
    </row>
    <row r="105" spans="1:13" x14ac:dyDescent="0.2">
      <c r="B105" s="21" t="s">
        <v>99</v>
      </c>
      <c r="C105" s="21"/>
      <c r="D105" s="20">
        <v>79</v>
      </c>
      <c r="E105" s="147"/>
      <c r="F105" s="239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43"/>
      <c r="F106" s="38"/>
      <c r="I106" s="200" t="s">
        <v>117</v>
      </c>
      <c r="J106" s="200"/>
      <c r="K106" s="201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17">
        <v>0</v>
      </c>
      <c r="E107" s="115"/>
      <c r="F107" s="38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146"/>
      <c r="F108" s="240"/>
      <c r="I108" s="110" t="s">
        <v>23</v>
      </c>
      <c r="J108" s="101"/>
      <c r="K108" s="36">
        <v>3</v>
      </c>
      <c r="L108" s="36">
        <v>0</v>
      </c>
      <c r="M108" s="109">
        <v>3</v>
      </c>
    </row>
    <row r="109" spans="1:13" x14ac:dyDescent="0.2">
      <c r="A109" s="1" t="s">
        <v>77</v>
      </c>
      <c r="B109" s="20" t="s">
        <v>82</v>
      </c>
      <c r="C109" s="20"/>
      <c r="D109" s="17">
        <v>4</v>
      </c>
      <c r="E109" s="143">
        <v>112</v>
      </c>
      <c r="F109" s="38"/>
      <c r="I109" s="110" t="s">
        <v>24</v>
      </c>
      <c r="J109" s="101"/>
      <c r="K109" s="36">
        <v>30</v>
      </c>
      <c r="L109" s="36">
        <v>0</v>
      </c>
      <c r="M109" s="109">
        <v>30</v>
      </c>
    </row>
    <row r="110" spans="1:13" x14ac:dyDescent="0.2">
      <c r="A110" s="1"/>
      <c r="B110" s="115" t="s">
        <v>153</v>
      </c>
      <c r="D110" s="20">
        <v>0</v>
      </c>
      <c r="E110" s="147"/>
      <c r="F110" s="239"/>
      <c r="I110" s="110" t="s">
        <v>156</v>
      </c>
      <c r="J110" s="36"/>
      <c r="K110" s="36">
        <v>3</v>
      </c>
      <c r="L110" s="36" t="s">
        <v>181</v>
      </c>
      <c r="M110" s="43">
        <v>3</v>
      </c>
    </row>
    <row r="111" spans="1:13" x14ac:dyDescent="0.2">
      <c r="A111" s="1"/>
      <c r="B111" s="39" t="s">
        <v>182</v>
      </c>
      <c r="C111" s="20"/>
      <c r="D111" s="20">
        <v>104</v>
      </c>
      <c r="E111" s="235"/>
      <c r="F111" s="239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20">
        <v>9</v>
      </c>
      <c r="E112" s="235"/>
      <c r="F112" s="239"/>
      <c r="M112" s="101"/>
    </row>
    <row r="113" spans="1:13" x14ac:dyDescent="0.2">
      <c r="A113" s="1"/>
      <c r="B113" s="116" t="s">
        <v>148</v>
      </c>
      <c r="C113" s="20"/>
      <c r="D113" s="20">
        <v>0</v>
      </c>
      <c r="E113" s="235"/>
      <c r="F113" s="239"/>
      <c r="I113" s="181" t="s">
        <v>111</v>
      </c>
      <c r="J113" s="188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20">
        <v>0</v>
      </c>
      <c r="E114" s="235"/>
      <c r="F114" s="239"/>
      <c r="I114" s="181" t="s">
        <v>143</v>
      </c>
      <c r="J114" s="188"/>
      <c r="K114" s="121">
        <v>7</v>
      </c>
      <c r="L114" s="94" t="s">
        <v>145</v>
      </c>
      <c r="M114" s="101"/>
    </row>
    <row r="115" spans="1:13" x14ac:dyDescent="0.2">
      <c r="C115" s="1" t="s">
        <v>7</v>
      </c>
      <c r="D115">
        <f>SUM(D109:D114)</f>
        <v>117</v>
      </c>
      <c r="E115">
        <f>SUM(E95:E114)</f>
        <v>192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60"/>
      <c r="B117" s="126"/>
      <c r="C117" s="127"/>
      <c r="D117" s="127"/>
      <c r="E117" s="126"/>
      <c r="F117" s="127"/>
    </row>
    <row r="118" spans="1:13" x14ac:dyDescent="0.2">
      <c r="A118" s="181" t="s">
        <v>58</v>
      </c>
      <c r="B118" s="188"/>
      <c r="C118" s="205"/>
      <c r="D118" s="48"/>
    </row>
    <row r="119" spans="1:13" x14ac:dyDescent="0.2">
      <c r="A119" s="47"/>
      <c r="B119" s="70"/>
      <c r="C119" s="40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A120" s="38"/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48516</v>
      </c>
      <c r="C122" s="36">
        <f>96+42+32+23</f>
        <v>193</v>
      </c>
      <c r="D122" s="36">
        <v>1480</v>
      </c>
      <c r="E122" s="4">
        <f>4+44+16+8+86+90+3+29+30+67+1</f>
        <v>378</v>
      </c>
      <c r="F122" s="4">
        <f>59+3+20+5+2+1+5+4+2+2+39+17+11+4+4+2+9+3+10+2+6+19+20+4+8+1+16+2+28+10+7+3+12+15+9+4+24+5+3+3+2+3+5</f>
        <v>413</v>
      </c>
      <c r="G122" s="36">
        <v>1089</v>
      </c>
      <c r="H122" s="4">
        <f>190+1295</f>
        <v>1485</v>
      </c>
      <c r="I122" s="4">
        <f>94</f>
        <v>94</v>
      </c>
      <c r="J122" s="36">
        <f>12593+2</f>
        <v>12595</v>
      </c>
      <c r="K122" s="36">
        <v>10411</v>
      </c>
      <c r="L122" s="36">
        <v>625</v>
      </c>
      <c r="M122" s="43">
        <f>SUM(B122:L122)</f>
        <v>77279</v>
      </c>
    </row>
    <row r="123" spans="1:13" x14ac:dyDescent="0.2">
      <c r="A123" s="48"/>
      <c r="B123" s="45"/>
      <c r="C123" s="45"/>
      <c r="D123" s="45"/>
      <c r="E123" s="67" t="s">
        <v>97</v>
      </c>
      <c r="F123" s="45"/>
      <c r="G123" s="45"/>
      <c r="H123" s="45"/>
      <c r="I123" s="45"/>
      <c r="J123" s="45"/>
      <c r="K123" s="45"/>
      <c r="L123" s="65"/>
      <c r="M123" s="46"/>
    </row>
    <row r="124" spans="1:13" x14ac:dyDescent="0.2">
      <c r="A124" s="47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121</v>
      </c>
      <c r="F126" s="186" t="s">
        <v>49</v>
      </c>
      <c r="G126" s="187"/>
      <c r="H126" s="75">
        <v>3</v>
      </c>
      <c r="J126" s="186" t="s">
        <v>75</v>
      </c>
      <c r="K126" s="192"/>
      <c r="L126" s="192"/>
      <c r="M126" s="41">
        <v>0</v>
      </c>
    </row>
    <row r="127" spans="1:13" x14ac:dyDescent="0.2">
      <c r="A127" s="203" t="s">
        <v>84</v>
      </c>
      <c r="B127" s="200"/>
      <c r="C127" s="49">
        <v>117</v>
      </c>
      <c r="F127" s="190" t="s">
        <v>50</v>
      </c>
      <c r="G127" s="191"/>
      <c r="H127" s="76">
        <v>0</v>
      </c>
      <c r="J127" s="190" t="s">
        <v>76</v>
      </c>
      <c r="K127" s="202"/>
      <c r="L127" s="202"/>
      <c r="M127" s="46">
        <v>0</v>
      </c>
    </row>
    <row r="128" spans="1:13" x14ac:dyDescent="0.2">
      <c r="A128" s="190" t="s">
        <v>92</v>
      </c>
      <c r="B128" s="202"/>
      <c r="C128" s="46">
        <v>290</v>
      </c>
      <c r="D128" s="2"/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40"/>
      <c r="F130" s="40"/>
      <c r="G130" s="40"/>
      <c r="H130" s="40"/>
      <c r="I130" s="40"/>
      <c r="J130" s="40"/>
      <c r="K130" s="40"/>
      <c r="L130" s="41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74" t="s">
        <v>14</v>
      </c>
    </row>
    <row r="132" spans="1:13" x14ac:dyDescent="0.2">
      <c r="A132" s="38"/>
      <c r="B132" s="60" t="s">
        <v>195</v>
      </c>
      <c r="C132" s="36">
        <v>120</v>
      </c>
      <c r="D132" s="36">
        <v>37</v>
      </c>
      <c r="E132" s="36">
        <v>432</v>
      </c>
      <c r="F132" s="4">
        <v>375</v>
      </c>
      <c r="G132" s="4">
        <v>178</v>
      </c>
      <c r="H132" s="4">
        <v>43</v>
      </c>
      <c r="I132" s="4">
        <v>44</v>
      </c>
      <c r="J132" s="4">
        <v>191</v>
      </c>
      <c r="K132" s="4">
        <v>485</v>
      </c>
      <c r="L132" s="61">
        <f>SUM(C132:K132)</f>
        <v>1905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4" t="s">
        <v>181</v>
      </c>
      <c r="F133" s="134">
        <v>185</v>
      </c>
      <c r="G133" s="134" t="s">
        <v>181</v>
      </c>
      <c r="H133" s="134" t="s">
        <v>181</v>
      </c>
      <c r="I133" s="134" t="s">
        <v>181</v>
      </c>
      <c r="J133" s="134">
        <v>119</v>
      </c>
      <c r="K133" s="134" t="s">
        <v>181</v>
      </c>
      <c r="L133" s="61">
        <f>SUM(C133:K133)</f>
        <v>304</v>
      </c>
    </row>
    <row r="134" spans="1:13" ht="13.5" thickBot="1" x14ac:dyDescent="0.25">
      <c r="A134" s="38"/>
      <c r="B134" s="16" t="s">
        <v>196</v>
      </c>
      <c r="C134" s="135">
        <v>0</v>
      </c>
      <c r="D134" s="135">
        <v>1</v>
      </c>
      <c r="E134" s="135">
        <v>0</v>
      </c>
      <c r="F134" s="135">
        <v>2</v>
      </c>
      <c r="G134" s="135">
        <v>0</v>
      </c>
      <c r="H134" s="135">
        <v>1</v>
      </c>
      <c r="I134" s="135" t="s">
        <v>181</v>
      </c>
      <c r="J134" s="135">
        <v>2</v>
      </c>
      <c r="K134" s="135">
        <v>1</v>
      </c>
      <c r="L134" s="160">
        <f>SUM(C134:K134)</f>
        <v>7</v>
      </c>
    </row>
    <row r="135" spans="1:13" ht="13.5" thickTop="1" x14ac:dyDescent="0.2">
      <c r="A135" s="38"/>
      <c r="B135" s="60" t="s">
        <v>14</v>
      </c>
      <c r="C135" s="36">
        <f>SUM(C132:C134)</f>
        <v>120</v>
      </c>
      <c r="D135" s="36">
        <f>SUM(D132:D134)</f>
        <v>38</v>
      </c>
      <c r="E135" s="36">
        <f t="shared" ref="E135:L135" si="8">SUM(E132:E134)</f>
        <v>432</v>
      </c>
      <c r="F135" s="36">
        <f t="shared" si="8"/>
        <v>562</v>
      </c>
      <c r="G135" s="36">
        <f t="shared" si="8"/>
        <v>178</v>
      </c>
      <c r="H135" s="36">
        <f t="shared" si="8"/>
        <v>44</v>
      </c>
      <c r="I135" s="36">
        <f t="shared" si="8"/>
        <v>44</v>
      </c>
      <c r="J135" s="36">
        <f t="shared" si="8"/>
        <v>312</v>
      </c>
      <c r="K135" s="36">
        <f t="shared" si="8"/>
        <v>486</v>
      </c>
      <c r="L135" s="49">
        <f t="shared" si="8"/>
        <v>2216</v>
      </c>
    </row>
    <row r="136" spans="1:13" x14ac:dyDescent="0.2">
      <c r="A136" s="3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4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6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211</v>
      </c>
      <c r="B141" s="27"/>
      <c r="C141" s="27"/>
      <c r="D141" s="27"/>
      <c r="E141" s="27"/>
      <c r="F141" s="28"/>
      <c r="G141" s="163" t="s">
        <v>204</v>
      </c>
      <c r="H141" s="29"/>
      <c r="I141" s="82"/>
      <c r="J141" s="83"/>
      <c r="K141" s="84"/>
      <c r="L141" s="84"/>
      <c r="M141" s="119"/>
    </row>
    <row r="142" spans="1:13" x14ac:dyDescent="0.2">
      <c r="A142" s="170" t="s">
        <v>215</v>
      </c>
      <c r="B142" s="27"/>
      <c r="C142" s="27"/>
      <c r="D142" s="27"/>
      <c r="E142" s="27"/>
      <c r="F142" s="82"/>
      <c r="G142" s="163" t="s">
        <v>205</v>
      </c>
      <c r="H142" s="82"/>
      <c r="I142" s="82"/>
      <c r="J142" s="82"/>
      <c r="K142" s="85"/>
      <c r="L142" s="85"/>
      <c r="M142" s="86"/>
    </row>
    <row r="143" spans="1:13" x14ac:dyDescent="0.2">
      <c r="A143" s="170" t="s">
        <v>234</v>
      </c>
      <c r="B143" s="27"/>
      <c r="C143" s="27"/>
      <c r="D143" s="27"/>
      <c r="E143" s="27"/>
      <c r="F143" s="28"/>
      <c r="G143" s="168" t="s">
        <v>213</v>
      </c>
      <c r="H143" s="82"/>
      <c r="I143" s="82"/>
      <c r="J143" s="82"/>
      <c r="K143" s="85"/>
      <c r="L143" s="85"/>
      <c r="M143" s="86"/>
    </row>
    <row r="144" spans="1:13" x14ac:dyDescent="0.2">
      <c r="A144" s="38"/>
      <c r="B144" s="36"/>
      <c r="C144" s="36"/>
      <c r="D144" s="36"/>
      <c r="E144" s="36"/>
      <c r="F144" s="36"/>
      <c r="G144" s="164" t="s">
        <v>212</v>
      </c>
      <c r="H144" s="36"/>
      <c r="I144" s="36"/>
      <c r="J144" s="36"/>
      <c r="K144" s="36"/>
      <c r="L144" s="36"/>
      <c r="M144" s="43"/>
    </row>
    <row r="145" spans="1:13" ht="18" x14ac:dyDescent="0.25">
      <c r="A145" s="38"/>
      <c r="B145" s="89"/>
      <c r="C145" s="27"/>
      <c r="D145" s="27"/>
      <c r="E145" s="27"/>
      <c r="F145" s="82"/>
      <c r="G145" s="168" t="s">
        <v>216</v>
      </c>
      <c r="H145" s="82"/>
      <c r="I145" s="29"/>
      <c r="J145" s="55"/>
      <c r="K145" s="27"/>
      <c r="L145" s="27"/>
      <c r="M145" s="30"/>
    </row>
    <row r="146" spans="1:13" ht="18" x14ac:dyDescent="0.25">
      <c r="A146" s="34" t="s">
        <v>164</v>
      </c>
      <c r="B146" s="27"/>
      <c r="C146" s="27"/>
      <c r="D146" s="27"/>
      <c r="E146" s="27"/>
      <c r="F146" s="82"/>
      <c r="G146" s="168" t="s">
        <v>217</v>
      </c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210</v>
      </c>
      <c r="B147" s="89"/>
      <c r="C147" s="27"/>
      <c r="D147" s="27"/>
      <c r="E147" s="27"/>
      <c r="F147" s="27"/>
      <c r="G147" s="169" t="s">
        <v>224</v>
      </c>
      <c r="H147" s="29"/>
      <c r="I147" s="29"/>
      <c r="J147" s="29"/>
      <c r="K147" s="29"/>
      <c r="L147" s="27"/>
      <c r="M147" s="30"/>
    </row>
    <row r="148" spans="1:13" x14ac:dyDescent="0.2">
      <c r="A148" s="161" t="s">
        <v>247</v>
      </c>
      <c r="B148" s="35"/>
      <c r="C148" s="35"/>
      <c r="D148" s="27"/>
      <c r="E148" s="35"/>
      <c r="F148" s="92"/>
      <c r="G148" s="36"/>
      <c r="H148" s="36"/>
      <c r="I148" s="82"/>
      <c r="J148" s="82"/>
      <c r="K148" s="27"/>
      <c r="L148" s="27"/>
      <c r="M148" s="30"/>
    </row>
    <row r="149" spans="1:13" x14ac:dyDescent="0.2">
      <c r="A149" s="161" t="s">
        <v>227</v>
      </c>
      <c r="B149" s="27"/>
      <c r="C149" s="27"/>
      <c r="D149" s="27"/>
      <c r="E149" s="27"/>
      <c r="F149" s="92"/>
      <c r="G149" s="35" t="s">
        <v>168</v>
      </c>
      <c r="H149" s="36"/>
      <c r="I149" s="82"/>
      <c r="J149" s="82"/>
      <c r="K149" s="27"/>
      <c r="L149" s="27"/>
      <c r="M149" s="30"/>
    </row>
    <row r="150" spans="1:13" ht="18" x14ac:dyDescent="0.25">
      <c r="A150" s="56"/>
      <c r="B150" s="27"/>
      <c r="C150" s="27"/>
      <c r="D150" s="27"/>
      <c r="E150" s="27"/>
      <c r="F150" s="92"/>
      <c r="G150" s="163" t="s">
        <v>223</v>
      </c>
      <c r="H150" s="36"/>
      <c r="I150" s="29"/>
      <c r="J150" s="29"/>
      <c r="K150" s="27"/>
      <c r="L150" s="27"/>
      <c r="M150" s="30"/>
    </row>
    <row r="151" spans="1:13" ht="18" x14ac:dyDescent="0.25">
      <c r="A151" s="38"/>
      <c r="B151" s="36"/>
      <c r="C151" s="36"/>
      <c r="D151" s="36"/>
      <c r="E151" s="36"/>
      <c r="F151" s="28"/>
      <c r="G151" s="163" t="s">
        <v>225</v>
      </c>
      <c r="H151" s="36"/>
      <c r="I151" s="29"/>
      <c r="J151" s="29"/>
      <c r="K151" s="27"/>
      <c r="L151" s="27"/>
      <c r="M151" s="30"/>
    </row>
    <row r="152" spans="1:13" x14ac:dyDescent="0.2">
      <c r="A152" s="38"/>
      <c r="B152" s="27"/>
      <c r="C152" s="27"/>
      <c r="D152" s="27"/>
      <c r="E152" s="27"/>
      <c r="F152" s="28"/>
      <c r="G152" s="89"/>
      <c r="H152" s="36"/>
      <c r="I152" s="82"/>
      <c r="J152" s="82"/>
      <c r="K152" s="85"/>
      <c r="L152" s="85"/>
      <c r="M152" s="86"/>
    </row>
    <row r="153" spans="1:13" x14ac:dyDescent="0.2">
      <c r="A153" s="149" t="s">
        <v>173</v>
      </c>
      <c r="B153" s="27"/>
      <c r="C153" s="27"/>
      <c r="D153" s="27"/>
      <c r="E153" s="27"/>
      <c r="F153" s="28"/>
      <c r="G153" s="131" t="s">
        <v>170</v>
      </c>
      <c r="H153" s="36"/>
      <c r="I153" s="82"/>
      <c r="J153" s="82"/>
      <c r="K153" s="85"/>
      <c r="L153" s="85"/>
      <c r="M153" s="86"/>
    </row>
    <row r="154" spans="1:13" x14ac:dyDescent="0.2">
      <c r="A154" s="162" t="s">
        <v>206</v>
      </c>
      <c r="B154" s="27"/>
      <c r="C154" s="27"/>
      <c r="D154" s="27"/>
      <c r="E154" s="27"/>
      <c r="F154" s="28"/>
      <c r="G154" s="163" t="s">
        <v>241</v>
      </c>
      <c r="H154" s="36"/>
      <c r="I154" s="82"/>
      <c r="J154" s="82"/>
      <c r="K154" s="85"/>
      <c r="L154" s="85"/>
      <c r="M154" s="86"/>
    </row>
    <row r="155" spans="1:13" x14ac:dyDescent="0.2">
      <c r="A155" s="162" t="s">
        <v>207</v>
      </c>
      <c r="B155" s="27"/>
      <c r="C155" s="27"/>
      <c r="D155" s="27"/>
      <c r="E155" s="27"/>
      <c r="F155" s="28"/>
      <c r="G155" s="163" t="s">
        <v>214</v>
      </c>
      <c r="H155" s="36"/>
      <c r="I155" s="82"/>
      <c r="J155" s="82"/>
      <c r="K155" s="85"/>
      <c r="L155" s="85"/>
      <c r="M155" s="86"/>
    </row>
    <row r="156" spans="1:13" x14ac:dyDescent="0.2">
      <c r="A156" s="161" t="s">
        <v>209</v>
      </c>
      <c r="B156" s="27"/>
      <c r="C156" s="27"/>
      <c r="D156" s="36"/>
      <c r="E156" s="36"/>
      <c r="F156" s="36"/>
      <c r="G156" s="168" t="s">
        <v>222</v>
      </c>
      <c r="H156" s="36"/>
      <c r="I156" s="36"/>
      <c r="J156" s="36"/>
      <c r="K156" s="36"/>
      <c r="L156" s="36"/>
      <c r="M156" s="43"/>
    </row>
    <row r="157" spans="1:13" x14ac:dyDescent="0.2">
      <c r="A157" s="161" t="s">
        <v>218</v>
      </c>
      <c r="B157" s="27"/>
      <c r="C157" s="27"/>
      <c r="D157" s="27"/>
      <c r="E157" s="27"/>
      <c r="F157" s="28"/>
      <c r="G157" s="168" t="s">
        <v>229</v>
      </c>
      <c r="H157" s="36"/>
      <c r="I157" s="36"/>
      <c r="J157" s="36"/>
      <c r="K157" s="85"/>
      <c r="L157" s="85"/>
      <c r="M157" s="86"/>
    </row>
    <row r="158" spans="1:13" x14ac:dyDescent="0.2">
      <c r="A158" s="162" t="s">
        <v>208</v>
      </c>
      <c r="B158" s="35"/>
      <c r="C158" s="35"/>
      <c r="D158" s="27"/>
      <c r="E158" s="27"/>
      <c r="F158" s="28"/>
      <c r="G158" s="168" t="s">
        <v>228</v>
      </c>
      <c r="H158" s="36"/>
      <c r="I158" s="82"/>
      <c r="J158" s="82"/>
      <c r="K158" s="85"/>
      <c r="L158" s="85"/>
      <c r="M158" s="86"/>
    </row>
    <row r="159" spans="1:13" x14ac:dyDescent="0.2">
      <c r="A159" s="161" t="s">
        <v>236</v>
      </c>
      <c r="B159" s="35"/>
      <c r="C159" s="35"/>
      <c r="D159" s="27"/>
      <c r="E159" s="27"/>
      <c r="F159" s="28"/>
      <c r="G159" s="168" t="s">
        <v>231</v>
      </c>
      <c r="H159" s="36"/>
      <c r="I159" s="82"/>
      <c r="J159" s="82"/>
      <c r="K159" s="85"/>
      <c r="L159" s="85"/>
      <c r="M159" s="86"/>
    </row>
    <row r="160" spans="1:13" x14ac:dyDescent="0.2">
      <c r="A160" s="161" t="s">
        <v>230</v>
      </c>
      <c r="B160" s="35"/>
      <c r="C160" s="35"/>
      <c r="D160" s="27"/>
      <c r="E160" s="27"/>
      <c r="F160" s="28"/>
      <c r="G160" s="168" t="s">
        <v>232</v>
      </c>
      <c r="H160" s="36"/>
      <c r="I160" s="82"/>
      <c r="J160" s="82"/>
      <c r="K160" s="85"/>
      <c r="L160" s="85"/>
      <c r="M160" s="86"/>
    </row>
    <row r="161" spans="1:13" x14ac:dyDescent="0.2">
      <c r="A161" s="161" t="s">
        <v>220</v>
      </c>
      <c r="B161" s="27"/>
      <c r="C161" s="27"/>
      <c r="D161" s="27"/>
      <c r="E161" s="89"/>
      <c r="F161" s="27"/>
      <c r="G161" s="163" t="s">
        <v>235</v>
      </c>
      <c r="H161" s="36"/>
      <c r="I161" s="27"/>
      <c r="J161" s="82"/>
      <c r="K161" s="36"/>
      <c r="L161" s="36"/>
      <c r="M161" s="43"/>
    </row>
    <row r="162" spans="1:13" x14ac:dyDescent="0.2">
      <c r="A162" s="161" t="s">
        <v>221</v>
      </c>
      <c r="B162" s="27"/>
      <c r="C162" s="27"/>
      <c r="D162" s="27"/>
      <c r="E162" s="89"/>
      <c r="F162" s="27"/>
      <c r="G162" s="163" t="s">
        <v>239</v>
      </c>
      <c r="H162" s="36"/>
      <c r="I162" s="27"/>
      <c r="J162" s="82"/>
      <c r="K162" s="36"/>
      <c r="L162" s="36"/>
      <c r="M162" s="43"/>
    </row>
    <row r="163" spans="1:13" x14ac:dyDescent="0.2">
      <c r="A163" s="161" t="s">
        <v>237</v>
      </c>
      <c r="B163" s="27"/>
      <c r="C163" s="27"/>
      <c r="D163" s="27"/>
      <c r="E163" s="89"/>
      <c r="F163" s="27"/>
      <c r="L163" s="36"/>
      <c r="M163" s="43"/>
    </row>
    <row r="164" spans="1:13" x14ac:dyDescent="0.2">
      <c r="A164" s="161" t="s">
        <v>244</v>
      </c>
      <c r="B164" s="27"/>
      <c r="C164" s="27"/>
      <c r="D164" s="27"/>
      <c r="E164" s="89"/>
      <c r="F164" s="27"/>
      <c r="G164" s="163"/>
      <c r="H164" s="36"/>
      <c r="I164" s="27"/>
      <c r="J164" s="82"/>
      <c r="K164" s="36"/>
      <c r="L164" s="36"/>
      <c r="M164" s="43"/>
    </row>
    <row r="165" spans="1:13" x14ac:dyDescent="0.2">
      <c r="A165" s="161" t="s">
        <v>238</v>
      </c>
      <c r="B165" s="27"/>
      <c r="C165" s="27"/>
      <c r="D165" s="27"/>
      <c r="E165" s="89"/>
      <c r="F165" s="27"/>
      <c r="G165" s="163"/>
      <c r="H165" s="36"/>
      <c r="I165" s="27"/>
      <c r="J165" s="82"/>
      <c r="K165" s="36"/>
      <c r="L165" s="36"/>
      <c r="M165" s="43"/>
    </row>
    <row r="166" spans="1:13" x14ac:dyDescent="0.2">
      <c r="A166" s="161" t="s">
        <v>248</v>
      </c>
      <c r="B166" s="27"/>
      <c r="C166" s="27"/>
      <c r="D166" s="27"/>
      <c r="E166" s="89"/>
      <c r="F166" s="27"/>
      <c r="G166" s="163"/>
      <c r="H166" s="36"/>
      <c r="I166" s="27"/>
      <c r="J166" s="82"/>
      <c r="K166" s="36"/>
      <c r="L166" s="36"/>
      <c r="M166" s="43"/>
    </row>
    <row r="167" spans="1:13" x14ac:dyDescent="0.2">
      <c r="A167" s="161" t="s">
        <v>226</v>
      </c>
      <c r="B167" s="27"/>
      <c r="C167" s="27"/>
      <c r="D167" s="27"/>
      <c r="E167" s="89"/>
      <c r="F167" s="27"/>
      <c r="G167" s="89"/>
      <c r="H167" s="36"/>
      <c r="I167" s="27"/>
      <c r="J167" s="82"/>
      <c r="K167" s="36"/>
      <c r="L167" s="36"/>
      <c r="M167" s="43"/>
    </row>
    <row r="168" spans="1:13" x14ac:dyDescent="0.2">
      <c r="A168" s="171" t="s">
        <v>219</v>
      </c>
      <c r="B168" s="31"/>
      <c r="C168" s="31"/>
      <c r="D168" s="31"/>
      <c r="E168" s="117"/>
      <c r="F168" s="31"/>
      <c r="G168" s="117"/>
      <c r="H168" s="45"/>
      <c r="I168" s="31"/>
      <c r="J168" s="91"/>
      <c r="K168" s="45"/>
      <c r="L168" s="45"/>
      <c r="M168" s="46"/>
    </row>
    <row r="169" spans="1:13" x14ac:dyDescent="0.2">
      <c r="A169" s="89"/>
      <c r="B169" s="28"/>
      <c r="C169" s="82"/>
      <c r="D169" s="82"/>
      <c r="E169" s="82"/>
      <c r="F169" s="82"/>
      <c r="G169" s="85"/>
      <c r="H169" s="85"/>
      <c r="I169" s="85"/>
      <c r="J169" s="85"/>
      <c r="K169" s="84"/>
      <c r="L169" s="84"/>
      <c r="M169" s="27"/>
    </row>
  </sheetData>
  <pageMargins left="0.5" right="0.5" top="0.5" bottom="0.5" header="0.5" footer="0.5"/>
  <pageSetup scale="91" fitToHeight="0" orientation="landscape" r:id="rId1"/>
  <headerFooter>
    <oddHeader>&amp;RAug. 2015 - Page &amp;P</oddHeader>
  </headerFooter>
  <rowBreaks count="2" manualBreakCount="2">
    <brk id="92" max="16383" man="1"/>
    <brk id="13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0"/>
  <sheetViews>
    <sheetView topLeftCell="A43" workbookViewId="0">
      <selection activeCell="C36" sqref="C36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0.140625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 t="s">
        <v>198</v>
      </c>
      <c r="H2" s="10"/>
      <c r="I2" s="10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40</v>
      </c>
      <c r="D7" s="36">
        <v>4</v>
      </c>
      <c r="E7" s="36">
        <v>62</v>
      </c>
      <c r="F7" s="72">
        <v>257</v>
      </c>
      <c r="G7" s="72">
        <v>131</v>
      </c>
      <c r="H7" s="72">
        <v>0</v>
      </c>
      <c r="I7" s="72">
        <v>3</v>
      </c>
      <c r="J7" s="72">
        <v>186</v>
      </c>
      <c r="K7" s="72">
        <v>29</v>
      </c>
      <c r="L7" s="72"/>
      <c r="M7" s="4">
        <f>SUM(C7:L7)</f>
        <v>712</v>
      </c>
    </row>
    <row r="8" spans="1:18" x14ac:dyDescent="0.2">
      <c r="A8" s="38"/>
      <c r="B8" s="57" t="s">
        <v>156</v>
      </c>
      <c r="C8" s="36">
        <v>13</v>
      </c>
      <c r="D8" s="36">
        <v>1</v>
      </c>
      <c r="E8" s="36">
        <v>5</v>
      </c>
      <c r="F8" s="72">
        <v>7</v>
      </c>
      <c r="G8" s="72">
        <v>1</v>
      </c>
      <c r="H8" s="72">
        <v>0</v>
      </c>
      <c r="I8" s="72">
        <v>0</v>
      </c>
      <c r="J8" s="72">
        <v>13</v>
      </c>
      <c r="K8" s="72">
        <v>1</v>
      </c>
      <c r="L8" s="72">
        <v>2</v>
      </c>
      <c r="M8" s="4">
        <f>SUM(C8:L8)</f>
        <v>43</v>
      </c>
    </row>
    <row r="9" spans="1:18" ht="13.5" thickBot="1" x14ac:dyDescent="0.25">
      <c r="A9" s="38"/>
      <c r="B9" s="57" t="s">
        <v>157</v>
      </c>
      <c r="C9" s="3">
        <v>18</v>
      </c>
      <c r="D9" s="3">
        <v>0</v>
      </c>
      <c r="E9" s="3">
        <v>21</v>
      </c>
      <c r="F9" s="3">
        <v>96</v>
      </c>
      <c r="G9" s="3">
        <v>2</v>
      </c>
      <c r="H9" s="3">
        <v>0</v>
      </c>
      <c r="I9" s="3">
        <v>0</v>
      </c>
      <c r="J9" s="3">
        <v>20</v>
      </c>
      <c r="K9" s="3">
        <v>1</v>
      </c>
      <c r="L9" s="3"/>
      <c r="M9" s="3">
        <f>SUM(C9:L9)</f>
        <v>158</v>
      </c>
    </row>
    <row r="10" spans="1:18" ht="13.5" thickTop="1" x14ac:dyDescent="0.2">
      <c r="A10" s="48"/>
      <c r="B10" s="65" t="s">
        <v>14</v>
      </c>
      <c r="C10" s="45">
        <f>SUM(C7:C9)</f>
        <v>71</v>
      </c>
      <c r="D10" s="45">
        <f t="shared" ref="D10:M10" si="0">SUM(D7:D9)</f>
        <v>5</v>
      </c>
      <c r="E10" s="45">
        <f t="shared" si="0"/>
        <v>88</v>
      </c>
      <c r="F10" s="45">
        <f t="shared" si="0"/>
        <v>360</v>
      </c>
      <c r="G10" s="45">
        <f t="shared" si="0"/>
        <v>134</v>
      </c>
      <c r="H10" s="45">
        <f t="shared" si="0"/>
        <v>0</v>
      </c>
      <c r="I10" s="45">
        <f t="shared" si="0"/>
        <v>3</v>
      </c>
      <c r="J10" s="45">
        <f t="shared" si="0"/>
        <v>219</v>
      </c>
      <c r="K10" s="45">
        <f t="shared" si="0"/>
        <v>31</v>
      </c>
      <c r="L10" s="45">
        <f t="shared" si="0"/>
        <v>2</v>
      </c>
      <c r="M10" s="45">
        <f t="shared" si="0"/>
        <v>913</v>
      </c>
    </row>
    <row r="11" spans="1:18" x14ac:dyDescent="0.2">
      <c r="B11" s="1"/>
      <c r="D11" s="2"/>
    </row>
    <row r="12" spans="1:18" x14ac:dyDescent="0.2">
      <c r="A12" s="186" t="s">
        <v>52</v>
      </c>
      <c r="B12" s="187"/>
      <c r="C12" s="40">
        <v>3239</v>
      </c>
      <c r="D12" s="66">
        <v>80</v>
      </c>
      <c r="E12" s="40">
        <v>26487</v>
      </c>
      <c r="F12" s="66">
        <v>11804</v>
      </c>
      <c r="G12" s="66">
        <v>9418</v>
      </c>
      <c r="H12" s="66">
        <v>106</v>
      </c>
      <c r="I12" s="66">
        <v>62</v>
      </c>
      <c r="J12" s="66">
        <v>11046</v>
      </c>
      <c r="K12" s="66">
        <v>1910</v>
      </c>
      <c r="L12" s="66"/>
      <c r="M12" s="66">
        <f>SUM(C12:K12)</f>
        <v>64152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61</v>
      </c>
      <c r="D19" s="36">
        <v>2</v>
      </c>
      <c r="E19" s="36">
        <v>164</v>
      </c>
      <c r="F19" s="4">
        <v>211</v>
      </c>
      <c r="G19" s="4">
        <v>133</v>
      </c>
      <c r="H19" s="4">
        <v>1</v>
      </c>
      <c r="I19" s="4">
        <v>4</v>
      </c>
      <c r="J19" s="4">
        <v>87</v>
      </c>
      <c r="K19" s="4">
        <v>59</v>
      </c>
      <c r="L19" s="43">
        <f>SUM(C19:K19)</f>
        <v>722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2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6</v>
      </c>
      <c r="L20" s="61">
        <f>SUM(C20:K20)</f>
        <v>10</v>
      </c>
    </row>
    <row r="21" spans="1:13" x14ac:dyDescent="0.2">
      <c r="A21" s="38"/>
      <c r="B21" s="36" t="s">
        <v>11</v>
      </c>
      <c r="C21" s="4">
        <v>2</v>
      </c>
      <c r="D21" s="4">
        <v>0</v>
      </c>
      <c r="E21" s="4">
        <v>18</v>
      </c>
      <c r="F21" s="4">
        <v>18</v>
      </c>
      <c r="G21" s="4">
        <v>23</v>
      </c>
      <c r="H21" s="4">
        <v>1</v>
      </c>
      <c r="I21" s="4">
        <v>0</v>
      </c>
      <c r="J21" s="4">
        <v>28</v>
      </c>
      <c r="K21" s="4">
        <v>2</v>
      </c>
      <c r="L21" s="61">
        <f>SUM(C21:K21)</f>
        <v>92</v>
      </c>
    </row>
    <row r="22" spans="1:13" x14ac:dyDescent="0.2">
      <c r="A22" s="38"/>
      <c r="B22" s="36" t="s">
        <v>10</v>
      </c>
      <c r="C22" s="4">
        <v>6</v>
      </c>
      <c r="D22" s="4">
        <v>3</v>
      </c>
      <c r="E22" s="4">
        <v>9</v>
      </c>
      <c r="F22" s="4">
        <v>56</v>
      </c>
      <c r="G22" s="4">
        <v>20</v>
      </c>
      <c r="H22" s="4">
        <v>1</v>
      </c>
      <c r="I22" s="4">
        <v>2</v>
      </c>
      <c r="J22" s="4">
        <v>2</v>
      </c>
      <c r="K22" s="4">
        <v>2</v>
      </c>
      <c r="L22" s="61">
        <f>SUM(C22:K22)</f>
        <v>101</v>
      </c>
    </row>
    <row r="23" spans="1:13" ht="13.5" thickBot="1" x14ac:dyDescent="0.25">
      <c r="A23" s="38"/>
      <c r="B23" s="36" t="s">
        <v>9</v>
      </c>
      <c r="C23" s="3">
        <v>169</v>
      </c>
      <c r="D23" s="3">
        <v>98</v>
      </c>
      <c r="E23" s="3">
        <v>538</v>
      </c>
      <c r="F23" s="3">
        <v>500</v>
      </c>
      <c r="G23" s="3">
        <v>259</v>
      </c>
      <c r="H23" s="3">
        <v>13</v>
      </c>
      <c r="I23" s="3">
        <v>15</v>
      </c>
      <c r="J23" s="3">
        <v>884</v>
      </c>
      <c r="K23" s="3">
        <v>239</v>
      </c>
      <c r="L23" s="59">
        <f>SUM(C23:K23)</f>
        <v>2715</v>
      </c>
    </row>
    <row r="24" spans="1:13" ht="13.5" thickTop="1" x14ac:dyDescent="0.2">
      <c r="A24" s="38"/>
      <c r="B24" s="60" t="s">
        <v>14</v>
      </c>
      <c r="C24" s="36">
        <f>SUM(C19:C23)</f>
        <v>239</v>
      </c>
      <c r="D24" s="36">
        <f t="shared" ref="D24:L24" si="1">SUM(D19:D23)</f>
        <v>103</v>
      </c>
      <c r="E24" s="36">
        <f t="shared" si="1"/>
        <v>731</v>
      </c>
      <c r="F24" s="36">
        <f t="shared" si="1"/>
        <v>785</v>
      </c>
      <c r="G24" s="36">
        <f t="shared" si="1"/>
        <v>436</v>
      </c>
      <c r="H24" s="36">
        <f t="shared" si="1"/>
        <v>16</v>
      </c>
      <c r="I24" s="36">
        <f t="shared" si="1"/>
        <v>21</v>
      </c>
      <c r="J24" s="36">
        <f t="shared" si="1"/>
        <v>1001</v>
      </c>
      <c r="K24" s="36">
        <f t="shared" si="1"/>
        <v>308</v>
      </c>
      <c r="L24" s="36">
        <f t="shared" si="1"/>
        <v>3640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s="2" t="s">
        <v>138</v>
      </c>
      <c r="M26" s="209" t="s">
        <v>7</v>
      </c>
    </row>
    <row r="27" spans="1:13" x14ac:dyDescent="0.2">
      <c r="A27" s="181" t="s">
        <v>35</v>
      </c>
      <c r="B27" s="188"/>
      <c r="C27" s="87">
        <v>16.25</v>
      </c>
      <c r="D27" s="87">
        <v>0</v>
      </c>
      <c r="E27" s="87">
        <v>12.75</v>
      </c>
      <c r="F27" s="87">
        <v>23</v>
      </c>
      <c r="G27" s="87">
        <v>0</v>
      </c>
      <c r="H27" s="87">
        <v>0</v>
      </c>
      <c r="I27" s="87">
        <v>0</v>
      </c>
      <c r="J27" s="87">
        <v>4.9000000000000004</v>
      </c>
      <c r="K27" s="87">
        <v>4.25</v>
      </c>
      <c r="L27" s="87">
        <v>0</v>
      </c>
      <c r="M27" s="87">
        <f>SUM(C27:L27)</f>
        <v>61.15</v>
      </c>
    </row>
    <row r="29" spans="1:13" x14ac:dyDescent="0.2">
      <c r="A29" s="181" t="s">
        <v>66</v>
      </c>
      <c r="B29" s="181"/>
      <c r="C29" s="181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110</v>
      </c>
      <c r="D31" s="36">
        <v>37</v>
      </c>
      <c r="E31" s="36">
        <v>121</v>
      </c>
      <c r="F31" s="4">
        <v>222</v>
      </c>
      <c r="G31" s="4">
        <v>229</v>
      </c>
      <c r="H31" s="4">
        <v>282</v>
      </c>
      <c r="I31" s="4">
        <v>3</v>
      </c>
      <c r="J31" s="4">
        <v>183</v>
      </c>
      <c r="K31" s="4">
        <v>48</v>
      </c>
      <c r="L31" s="4">
        <f t="shared" ref="L31:L36" si="2">SUM(C31:K31)</f>
        <v>1235</v>
      </c>
    </row>
    <row r="32" spans="1:13" x14ac:dyDescent="0.2">
      <c r="B32" s="60" t="s">
        <v>18</v>
      </c>
      <c r="C32" s="36">
        <v>0</v>
      </c>
      <c r="D32" s="36">
        <v>0</v>
      </c>
      <c r="E32" s="36">
        <v>29</v>
      </c>
      <c r="F32" s="4">
        <v>73</v>
      </c>
      <c r="G32" s="4">
        <v>42</v>
      </c>
      <c r="H32" s="4">
        <v>0</v>
      </c>
      <c r="I32" s="4">
        <v>2</v>
      </c>
      <c r="J32" s="4">
        <v>38</v>
      </c>
      <c r="K32" s="4">
        <v>1</v>
      </c>
      <c r="L32" s="4">
        <f t="shared" si="2"/>
        <v>185</v>
      </c>
    </row>
    <row r="33" spans="1:12" x14ac:dyDescent="0.2">
      <c r="B33" s="60" t="s">
        <v>20</v>
      </c>
      <c r="C33" s="36">
        <v>178</v>
      </c>
      <c r="D33" s="36">
        <v>224</v>
      </c>
      <c r="E33" s="36">
        <v>597</v>
      </c>
      <c r="F33" s="36">
        <v>445</v>
      </c>
      <c r="G33" s="36">
        <v>488</v>
      </c>
      <c r="H33" s="4">
        <v>9</v>
      </c>
      <c r="I33" s="36">
        <v>0</v>
      </c>
      <c r="J33" s="36">
        <v>600</v>
      </c>
      <c r="K33" s="4">
        <v>122</v>
      </c>
      <c r="L33" s="4">
        <f t="shared" si="2"/>
        <v>2663</v>
      </c>
    </row>
    <row r="34" spans="1:12" x14ac:dyDescent="0.2">
      <c r="B34" s="60" t="s">
        <v>113</v>
      </c>
      <c r="C34" s="4">
        <f>62+9</f>
        <v>71</v>
      </c>
      <c r="D34" s="4">
        <v>46</v>
      </c>
      <c r="E34" s="4">
        <f>12+38</f>
        <v>50</v>
      </c>
      <c r="F34" s="4">
        <f>26+38</f>
        <v>64</v>
      </c>
      <c r="G34" s="4">
        <v>46</v>
      </c>
      <c r="H34" s="4">
        <v>57</v>
      </c>
      <c r="I34" s="4">
        <v>21</v>
      </c>
      <c r="J34" s="4">
        <f>14+91</f>
        <v>105</v>
      </c>
      <c r="K34" s="4">
        <v>19</v>
      </c>
      <c r="L34" s="4">
        <f t="shared" si="2"/>
        <v>479</v>
      </c>
    </row>
    <row r="35" spans="1:12" ht="13.5" thickBot="1" x14ac:dyDescent="0.25">
      <c r="B35" s="16" t="s">
        <v>19</v>
      </c>
      <c r="C35" s="3">
        <f t="shared" ref="C35:H35" si="3">SUM(C76)</f>
        <v>19</v>
      </c>
      <c r="D35" s="3">
        <f t="shared" si="3"/>
        <v>19</v>
      </c>
      <c r="E35" s="3">
        <f t="shared" si="3"/>
        <v>100</v>
      </c>
      <c r="F35" s="3">
        <f t="shared" si="3"/>
        <v>136</v>
      </c>
      <c r="G35" s="3">
        <f t="shared" si="3"/>
        <v>93</v>
      </c>
      <c r="H35" s="3">
        <f t="shared" si="3"/>
        <v>6</v>
      </c>
      <c r="I35" s="3">
        <f>SUM(I76)</f>
        <v>2</v>
      </c>
      <c r="J35" s="3">
        <f t="shared" ref="J35:K35" si="4">SUM(J76)</f>
        <v>173</v>
      </c>
      <c r="K35" s="3">
        <f t="shared" si="4"/>
        <v>88</v>
      </c>
      <c r="L35" s="122">
        <f t="shared" si="2"/>
        <v>636</v>
      </c>
    </row>
    <row r="36" spans="1:12" ht="13.5" thickTop="1" x14ac:dyDescent="0.2">
      <c r="B36" s="65" t="s">
        <v>14</v>
      </c>
      <c r="C36" s="45">
        <f t="shared" ref="C36:K36" si="5">SUM(C31:C35)</f>
        <v>378</v>
      </c>
      <c r="D36" s="45">
        <f t="shared" si="5"/>
        <v>326</v>
      </c>
      <c r="E36" s="45">
        <f t="shared" si="5"/>
        <v>897</v>
      </c>
      <c r="F36" s="45">
        <f t="shared" si="5"/>
        <v>940</v>
      </c>
      <c r="G36" s="45">
        <f t="shared" si="5"/>
        <v>898</v>
      </c>
      <c r="H36" s="45">
        <f t="shared" si="5"/>
        <v>354</v>
      </c>
      <c r="I36" s="45">
        <f t="shared" si="5"/>
        <v>28</v>
      </c>
      <c r="J36" s="45">
        <f t="shared" si="5"/>
        <v>1099</v>
      </c>
      <c r="K36" s="45">
        <f t="shared" si="5"/>
        <v>278</v>
      </c>
      <c r="L36" s="62">
        <f t="shared" si="2"/>
        <v>5198</v>
      </c>
    </row>
    <row r="38" spans="1:12" x14ac:dyDescent="0.2">
      <c r="A38" s="186" t="s">
        <v>57</v>
      </c>
      <c r="B38" s="187"/>
      <c r="C38" s="40">
        <v>13</v>
      </c>
      <c r="D38" s="40">
        <v>0</v>
      </c>
      <c r="E38" s="40">
        <v>5</v>
      </c>
      <c r="F38" s="66">
        <v>26</v>
      </c>
      <c r="G38" s="66">
        <v>20</v>
      </c>
      <c r="H38" s="66">
        <v>0</v>
      </c>
      <c r="I38" s="66">
        <v>0</v>
      </c>
      <c r="J38" s="66">
        <v>21</v>
      </c>
      <c r="K38" s="66">
        <v>0</v>
      </c>
      <c r="L38" s="66">
        <f>SUM(C38:K38)</f>
        <v>85</v>
      </c>
    </row>
    <row r="39" spans="1:12" ht="13.5" thickBot="1" x14ac:dyDescent="0.25">
      <c r="A39" s="71" t="s">
        <v>158</v>
      </c>
      <c r="B39" s="60"/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2</v>
      </c>
      <c r="I39" s="3">
        <v>0</v>
      </c>
      <c r="J39" s="3">
        <v>545</v>
      </c>
      <c r="K39" s="3">
        <v>0</v>
      </c>
      <c r="L39" s="122">
        <f>SUM(C39:K39)</f>
        <v>547</v>
      </c>
    </row>
    <row r="40" spans="1:12" ht="13.5" thickTop="1" x14ac:dyDescent="0.2">
      <c r="A40" s="71"/>
      <c r="B40" s="60" t="s">
        <v>7</v>
      </c>
      <c r="C40" s="36">
        <f>SUM(C38:C39)</f>
        <v>13</v>
      </c>
      <c r="D40" s="36">
        <f t="shared" ref="D40:K40" si="6">SUM(D38:D39)</f>
        <v>0</v>
      </c>
      <c r="E40" s="36">
        <f t="shared" si="6"/>
        <v>5</v>
      </c>
      <c r="F40" s="36">
        <f t="shared" si="6"/>
        <v>26</v>
      </c>
      <c r="G40" s="36">
        <f t="shared" si="6"/>
        <v>20</v>
      </c>
      <c r="H40" s="36">
        <f t="shared" si="6"/>
        <v>2</v>
      </c>
      <c r="I40" s="36">
        <f t="shared" si="6"/>
        <v>0</v>
      </c>
      <c r="J40" s="36">
        <f t="shared" si="6"/>
        <v>566</v>
      </c>
      <c r="K40" s="36">
        <f t="shared" si="6"/>
        <v>0</v>
      </c>
      <c r="L40" s="128">
        <f>SUM(L38:L39)</f>
        <v>632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1" t="s">
        <v>56</v>
      </c>
      <c r="B42" s="188"/>
      <c r="C42" s="45">
        <v>0</v>
      </c>
      <c r="D42" s="45">
        <v>0</v>
      </c>
      <c r="E42" s="45">
        <v>0</v>
      </c>
      <c r="F42" s="68">
        <v>0</v>
      </c>
      <c r="G42" s="68">
        <v>0</v>
      </c>
      <c r="H42" s="68">
        <v>0</v>
      </c>
      <c r="I42" s="68">
        <v>0</v>
      </c>
      <c r="J42" s="68">
        <v>10</v>
      </c>
      <c r="K42" s="68">
        <v>0</v>
      </c>
      <c r="L42" s="68">
        <f>SUM(C42:K42)</f>
        <v>10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3</v>
      </c>
      <c r="E44" s="40">
        <v>2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f>SUM(C44:K44)</f>
        <v>5</v>
      </c>
    </row>
    <row r="45" spans="1:12" x14ac:dyDescent="0.2">
      <c r="A45" s="69" t="s">
        <v>22</v>
      </c>
      <c r="B45" s="65"/>
      <c r="C45" s="45">
        <v>0</v>
      </c>
      <c r="D45" s="45">
        <v>7</v>
      </c>
      <c r="E45" s="45">
        <v>41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f>SUM(C45:K45)</f>
        <v>48</v>
      </c>
    </row>
    <row r="46" spans="1:12" x14ac:dyDescent="0.2">
      <c r="A46" s="38"/>
    </row>
    <row r="47" spans="1:12" x14ac:dyDescent="0.2">
      <c r="A47" s="186" t="s">
        <v>240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>
        <v>6</v>
      </c>
      <c r="D49" s="36">
        <v>1</v>
      </c>
      <c r="E49" s="36">
        <v>8</v>
      </c>
      <c r="F49" s="4">
        <v>22</v>
      </c>
      <c r="G49" s="4">
        <v>12</v>
      </c>
      <c r="H49" s="4">
        <v>5</v>
      </c>
      <c r="I49" s="4"/>
      <c r="J49" s="4">
        <v>33</v>
      </c>
      <c r="K49" s="4">
        <v>5</v>
      </c>
      <c r="L49" s="4">
        <f t="shared" ref="L49:L76" si="7">SUM(C49:K49)</f>
        <v>92</v>
      </c>
    </row>
    <row r="50" spans="2:12" x14ac:dyDescent="0.2">
      <c r="B50" s="42" t="s">
        <v>119</v>
      </c>
      <c r="C50" s="36"/>
      <c r="D50" s="36"/>
      <c r="E50" s="4"/>
      <c r="F50" s="36"/>
      <c r="G50" s="36"/>
      <c r="H50" s="36"/>
      <c r="I50" s="36"/>
      <c r="J50" s="36"/>
      <c r="K50" s="36"/>
      <c r="L50" s="4">
        <f t="shared" si="7"/>
        <v>0</v>
      </c>
    </row>
    <row r="51" spans="2:12" x14ac:dyDescent="0.2">
      <c r="B51" s="42" t="s">
        <v>108</v>
      </c>
      <c r="C51" s="36"/>
      <c r="D51" s="36"/>
      <c r="E51" s="36">
        <v>5</v>
      </c>
      <c r="F51" s="36">
        <v>13</v>
      </c>
      <c r="G51" s="36">
        <v>3</v>
      </c>
      <c r="H51" s="4"/>
      <c r="I51" s="36"/>
      <c r="J51" s="4">
        <v>3</v>
      </c>
      <c r="K51" s="4"/>
      <c r="L51" s="4">
        <f t="shared" si="7"/>
        <v>24</v>
      </c>
    </row>
    <row r="52" spans="2:12" x14ac:dyDescent="0.2">
      <c r="B52" s="42" t="s">
        <v>144</v>
      </c>
      <c r="C52" s="36"/>
      <c r="D52" s="36"/>
      <c r="E52" s="36"/>
      <c r="F52" s="36">
        <v>2</v>
      </c>
      <c r="G52" s="36"/>
      <c r="H52" s="36"/>
      <c r="I52" s="36"/>
      <c r="J52" s="4">
        <v>1</v>
      </c>
      <c r="K52" s="4">
        <v>1</v>
      </c>
      <c r="L52" s="4">
        <f t="shared" si="7"/>
        <v>4</v>
      </c>
    </row>
    <row r="53" spans="2:12" x14ac:dyDescent="0.2">
      <c r="B53" s="42" t="s">
        <v>159</v>
      </c>
      <c r="C53" s="4"/>
      <c r="D53" s="36">
        <v>8</v>
      </c>
      <c r="E53" s="36">
        <v>3</v>
      </c>
      <c r="F53" s="4">
        <v>14</v>
      </c>
      <c r="G53" s="36">
        <v>3</v>
      </c>
      <c r="H53" s="36"/>
      <c r="I53" s="36">
        <v>1</v>
      </c>
      <c r="J53" s="4">
        <v>17</v>
      </c>
      <c r="K53" s="4">
        <v>24</v>
      </c>
      <c r="L53" s="4">
        <f t="shared" si="7"/>
        <v>70</v>
      </c>
    </row>
    <row r="54" spans="2:12" x14ac:dyDescent="0.2">
      <c r="B54" s="42" t="s">
        <v>109</v>
      </c>
      <c r="C54" s="4">
        <v>3</v>
      </c>
      <c r="D54" s="36"/>
      <c r="E54" s="4">
        <v>16</v>
      </c>
      <c r="F54" s="4">
        <v>12</v>
      </c>
      <c r="G54" s="4">
        <v>7</v>
      </c>
      <c r="H54" s="36"/>
      <c r="I54" s="36"/>
      <c r="J54" s="4"/>
      <c r="K54" s="36"/>
      <c r="L54" s="4">
        <f t="shared" si="7"/>
        <v>38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4">
        <f>SUM(C55:K55)</f>
        <v>0</v>
      </c>
    </row>
    <row r="56" spans="2:12" x14ac:dyDescent="0.2">
      <c r="B56" s="42" t="s">
        <v>93</v>
      </c>
      <c r="C56" s="36"/>
      <c r="D56" s="36"/>
      <c r="E56" s="4"/>
      <c r="F56" s="4"/>
      <c r="G56" s="4"/>
      <c r="H56" s="4"/>
      <c r="I56" s="4"/>
      <c r="J56" s="4"/>
      <c r="K56" s="4"/>
      <c r="L56" s="4">
        <f t="shared" ref="L56:L73" si="8">SUM(C56:K56)</f>
        <v>0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36"/>
      <c r="K57" s="4"/>
      <c r="L57" s="4">
        <f t="shared" si="8"/>
        <v>0</v>
      </c>
    </row>
    <row r="58" spans="2:12" x14ac:dyDescent="0.2">
      <c r="B58" s="42" t="s">
        <v>107</v>
      </c>
      <c r="C58" s="36"/>
      <c r="D58" s="36"/>
      <c r="E58" s="4"/>
      <c r="F58" s="4"/>
      <c r="G58" s="4"/>
      <c r="H58" s="4"/>
      <c r="I58" s="36"/>
      <c r="J58" s="4"/>
      <c r="K58" s="4">
        <v>1</v>
      </c>
      <c r="L58" s="4">
        <f t="shared" si="8"/>
        <v>1</v>
      </c>
    </row>
    <row r="59" spans="2:12" x14ac:dyDescent="0.2">
      <c r="B59" s="42" t="s">
        <v>110</v>
      </c>
      <c r="C59" s="36">
        <v>2</v>
      </c>
      <c r="D59" s="36">
        <v>1</v>
      </c>
      <c r="E59" s="4">
        <v>4</v>
      </c>
      <c r="F59" s="4">
        <v>3</v>
      </c>
      <c r="G59" s="4">
        <v>1</v>
      </c>
      <c r="H59" s="4">
        <v>1</v>
      </c>
      <c r="I59" s="36">
        <v>1</v>
      </c>
      <c r="J59" s="4">
        <v>16</v>
      </c>
      <c r="K59" s="4">
        <v>8</v>
      </c>
      <c r="L59" s="4">
        <f t="shared" si="8"/>
        <v>37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/>
      <c r="J60" s="4"/>
      <c r="K60" s="4"/>
      <c r="L60" s="4">
        <f t="shared" si="8"/>
        <v>0</v>
      </c>
    </row>
    <row r="61" spans="2:12" x14ac:dyDescent="0.2">
      <c r="B61" s="38" t="s">
        <v>42</v>
      </c>
      <c r="C61" s="36">
        <v>2</v>
      </c>
      <c r="D61" s="36">
        <v>1</v>
      </c>
      <c r="E61" s="4">
        <v>16</v>
      </c>
      <c r="F61" s="4">
        <v>1</v>
      </c>
      <c r="G61" s="4">
        <v>3</v>
      </c>
      <c r="H61" s="4"/>
      <c r="I61" s="4"/>
      <c r="J61" s="4">
        <v>14</v>
      </c>
      <c r="K61" s="4"/>
      <c r="L61" s="4">
        <f t="shared" si="8"/>
        <v>37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4">
        <f t="shared" si="8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8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8"/>
        <v>0</v>
      </c>
    </row>
    <row r="65" spans="1:13" x14ac:dyDescent="0.2">
      <c r="B65" s="42" t="s">
        <v>163</v>
      </c>
      <c r="C65" s="36"/>
      <c r="D65" s="36"/>
      <c r="E65" s="36"/>
      <c r="F65" s="36"/>
      <c r="G65" s="4">
        <v>8</v>
      </c>
      <c r="H65" s="4"/>
      <c r="I65" s="4"/>
      <c r="J65" s="4"/>
      <c r="K65" s="4">
        <v>2</v>
      </c>
      <c r="L65" s="4">
        <f t="shared" si="8"/>
        <v>10</v>
      </c>
    </row>
    <row r="66" spans="1:13" x14ac:dyDescent="0.2">
      <c r="B66" s="38" t="s">
        <v>83</v>
      </c>
      <c r="C66" s="4">
        <v>3</v>
      </c>
      <c r="D66" s="4">
        <v>1</v>
      </c>
      <c r="E66" s="4">
        <v>28</v>
      </c>
      <c r="F66" s="4">
        <v>26</v>
      </c>
      <c r="G66" s="4"/>
      <c r="H66" s="4"/>
      <c r="I66" s="4"/>
      <c r="J66" s="4">
        <v>30</v>
      </c>
      <c r="K66" s="4">
        <v>19</v>
      </c>
      <c r="L66" s="4">
        <f t="shared" si="8"/>
        <v>107</v>
      </c>
    </row>
    <row r="67" spans="1:13" x14ac:dyDescent="0.2">
      <c r="B67" s="42" t="s">
        <v>161</v>
      </c>
      <c r="C67" s="4"/>
      <c r="D67" s="4"/>
      <c r="E67" s="4">
        <v>1</v>
      </c>
      <c r="F67" s="4"/>
      <c r="G67" s="4">
        <v>1</v>
      </c>
      <c r="H67" s="4"/>
      <c r="I67" s="4"/>
      <c r="J67" s="4"/>
      <c r="K67" s="4"/>
      <c r="L67" s="4">
        <f t="shared" si="8"/>
        <v>2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8"/>
        <v>0</v>
      </c>
    </row>
    <row r="69" spans="1:13" x14ac:dyDescent="0.2">
      <c r="B69" s="42" t="s">
        <v>94</v>
      </c>
      <c r="C69" s="4"/>
      <c r="D69" s="36"/>
      <c r="E69" s="4">
        <v>6</v>
      </c>
      <c r="F69" s="4">
        <v>10</v>
      </c>
      <c r="G69" s="4">
        <v>24</v>
      </c>
      <c r="H69" s="4"/>
      <c r="I69" s="4"/>
      <c r="J69" s="4">
        <v>17</v>
      </c>
      <c r="K69" s="4">
        <v>19</v>
      </c>
      <c r="L69" s="4">
        <f t="shared" si="8"/>
        <v>76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8"/>
        <v>0</v>
      </c>
    </row>
    <row r="71" spans="1:13" x14ac:dyDescent="0.2">
      <c r="B71" s="42" t="s">
        <v>44</v>
      </c>
      <c r="C71" s="4">
        <v>3</v>
      </c>
      <c r="D71" s="36">
        <v>3</v>
      </c>
      <c r="E71" s="4">
        <v>1</v>
      </c>
      <c r="F71" s="4">
        <v>26</v>
      </c>
      <c r="G71" s="4">
        <v>22</v>
      </c>
      <c r="H71" s="4"/>
      <c r="I71" s="4"/>
      <c r="J71" s="4">
        <v>37</v>
      </c>
      <c r="K71" s="4">
        <v>9</v>
      </c>
      <c r="L71" s="4">
        <f t="shared" si="8"/>
        <v>101</v>
      </c>
    </row>
    <row r="72" spans="1:13" x14ac:dyDescent="0.2">
      <c r="B72" s="42" t="s">
        <v>43</v>
      </c>
      <c r="C72" s="36"/>
      <c r="D72" s="36"/>
      <c r="E72" s="4">
        <v>12</v>
      </c>
      <c r="F72" s="4">
        <v>6</v>
      </c>
      <c r="G72" s="4">
        <v>8</v>
      </c>
      <c r="H72" s="4"/>
      <c r="I72" s="4"/>
      <c r="J72" s="36">
        <v>3</v>
      </c>
      <c r="K72" s="4"/>
      <c r="L72" s="4">
        <f t="shared" si="8"/>
        <v>29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4">
        <f t="shared" si="8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4"/>
      <c r="K74" s="4"/>
      <c r="L74" s="4">
        <f t="shared" si="7"/>
        <v>0</v>
      </c>
    </row>
    <row r="75" spans="1:13" ht="13.5" thickBot="1" x14ac:dyDescent="0.25">
      <c r="B75" s="80" t="s">
        <v>67</v>
      </c>
      <c r="C75" s="3"/>
      <c r="D75" s="3">
        <v>4</v>
      </c>
      <c r="E75" s="3"/>
      <c r="F75" s="3">
        <v>1</v>
      </c>
      <c r="G75" s="3">
        <v>1</v>
      </c>
      <c r="H75" s="3"/>
      <c r="I75" s="3"/>
      <c r="J75" s="3">
        <v>2</v>
      </c>
      <c r="K75" s="3"/>
      <c r="L75" s="122">
        <f t="shared" si="7"/>
        <v>8</v>
      </c>
    </row>
    <row r="76" spans="1:13" ht="13.5" thickTop="1" x14ac:dyDescent="0.2">
      <c r="B76" s="69" t="s">
        <v>7</v>
      </c>
      <c r="C76" s="45">
        <f t="shared" ref="C76:K76" si="9">SUM(C49:C75)</f>
        <v>19</v>
      </c>
      <c r="D76" s="45">
        <f t="shared" si="9"/>
        <v>19</v>
      </c>
      <c r="E76" s="45">
        <f t="shared" si="9"/>
        <v>100</v>
      </c>
      <c r="F76" s="45">
        <f t="shared" si="9"/>
        <v>136</v>
      </c>
      <c r="G76" s="45">
        <f t="shared" si="9"/>
        <v>93</v>
      </c>
      <c r="H76" s="45">
        <f t="shared" si="9"/>
        <v>6</v>
      </c>
      <c r="I76" s="45">
        <f t="shared" si="9"/>
        <v>2</v>
      </c>
      <c r="J76" s="45">
        <f t="shared" si="9"/>
        <v>173</v>
      </c>
      <c r="K76" s="45">
        <f t="shared" si="9"/>
        <v>88</v>
      </c>
      <c r="L76" s="123">
        <f t="shared" si="7"/>
        <v>636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215"/>
      <c r="M78" s="6"/>
    </row>
    <row r="79" spans="1:13" x14ac:dyDescent="0.2">
      <c r="A79" s="94" t="s">
        <v>123</v>
      </c>
      <c r="C79" s="43">
        <v>7</v>
      </c>
      <c r="D79" s="6"/>
      <c r="E79" s="38" t="s">
        <v>9</v>
      </c>
      <c r="F79" s="36"/>
      <c r="G79" s="43">
        <v>372</v>
      </c>
      <c r="I79" s="42" t="s">
        <v>133</v>
      </c>
      <c r="J79" s="36"/>
      <c r="K79" s="36">
        <v>274</v>
      </c>
      <c r="L79" s="43"/>
      <c r="M79" s="6"/>
    </row>
    <row r="80" spans="1:13" x14ac:dyDescent="0.2">
      <c r="A80" s="42" t="s">
        <v>29</v>
      </c>
      <c r="B80" s="36"/>
      <c r="C80" s="43">
        <v>2</v>
      </c>
      <c r="D80" s="6"/>
      <c r="E80" s="38" t="s">
        <v>10</v>
      </c>
      <c r="F80" s="36"/>
      <c r="G80" s="43">
        <v>82</v>
      </c>
      <c r="I80" s="42" t="s">
        <v>134</v>
      </c>
      <c r="J80" s="36"/>
      <c r="K80" s="36">
        <v>85</v>
      </c>
      <c r="L80" s="43"/>
      <c r="M80" s="6"/>
    </row>
    <row r="81" spans="1:13" x14ac:dyDescent="0.2">
      <c r="A81" s="42" t="s">
        <v>124</v>
      </c>
      <c r="B81" s="36"/>
      <c r="C81" s="43">
        <v>48</v>
      </c>
      <c r="D81" s="6"/>
      <c r="E81" s="38" t="s">
        <v>11</v>
      </c>
      <c r="F81" s="36"/>
      <c r="G81" s="43">
        <v>40</v>
      </c>
      <c r="I81" s="42" t="s">
        <v>46</v>
      </c>
      <c r="J81" s="36"/>
      <c r="K81" s="36">
        <v>3</v>
      </c>
      <c r="L81" s="43"/>
      <c r="M81" s="6"/>
    </row>
    <row r="82" spans="1:13" x14ac:dyDescent="0.2">
      <c r="A82" s="42" t="s">
        <v>125</v>
      </c>
      <c r="B82" s="57"/>
      <c r="C82" s="43">
        <v>195</v>
      </c>
      <c r="D82" s="6"/>
      <c r="E82" s="38" t="s">
        <v>38</v>
      </c>
      <c r="F82" s="36"/>
      <c r="G82" s="43">
        <v>94</v>
      </c>
      <c r="I82" s="42" t="s">
        <v>47</v>
      </c>
      <c r="J82" s="36"/>
      <c r="K82" s="4">
        <v>4</v>
      </c>
      <c r="L82" s="43"/>
      <c r="M82" s="6"/>
    </row>
    <row r="83" spans="1:13" x14ac:dyDescent="0.2">
      <c r="A83" s="42" t="s">
        <v>106</v>
      </c>
      <c r="B83" s="57"/>
      <c r="C83" s="43">
        <f>44+42</f>
        <v>86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>
        <v>0</v>
      </c>
      <c r="L83" s="46"/>
      <c r="M83" s="6"/>
    </row>
    <row r="84" spans="1:13" x14ac:dyDescent="0.2">
      <c r="A84" s="42" t="s">
        <v>146</v>
      </c>
      <c r="B84" s="57"/>
      <c r="C84" s="43">
        <v>22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22</v>
      </c>
    </row>
    <row r="86" spans="1:13" x14ac:dyDescent="0.2">
      <c r="A86" s="42" t="s">
        <v>126</v>
      </c>
      <c r="B86" s="36"/>
      <c r="C86" s="43">
        <v>6</v>
      </c>
      <c r="E86" s="186" t="s">
        <v>31</v>
      </c>
      <c r="F86" s="193"/>
      <c r="G86" s="194"/>
      <c r="H86" s="186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73</v>
      </c>
    </row>
    <row r="88" spans="1:13" x14ac:dyDescent="0.2">
      <c r="A88" s="104" t="s">
        <v>128</v>
      </c>
      <c r="B88" s="57"/>
      <c r="C88" s="43">
        <v>5</v>
      </c>
      <c r="E88" s="42" t="s">
        <v>33</v>
      </c>
      <c r="F88" s="57"/>
      <c r="G88" s="57"/>
      <c r="H88" s="49">
        <v>68</v>
      </c>
    </row>
    <row r="89" spans="1:13" x14ac:dyDescent="0.2">
      <c r="A89" s="104" t="s">
        <v>18</v>
      </c>
      <c r="C89" s="61">
        <v>7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v>721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36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2882</v>
      </c>
      <c r="E95" s="142"/>
      <c r="F95" s="236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>
        <v>7</v>
      </c>
      <c r="E96" s="143"/>
      <c r="F96" s="38"/>
      <c r="H96" s="1"/>
      <c r="I96" s="71" t="s">
        <v>139</v>
      </c>
      <c r="J96" s="60"/>
      <c r="L96">
        <v>210</v>
      </c>
      <c r="M96" s="43"/>
    </row>
    <row r="97" spans="1:13" x14ac:dyDescent="0.2">
      <c r="A97" s="1"/>
      <c r="B97" s="17" t="s">
        <v>147</v>
      </c>
      <c r="C97" s="17"/>
      <c r="D97" s="39">
        <v>99</v>
      </c>
      <c r="E97" s="143">
        <v>113</v>
      </c>
      <c r="F97" s="38"/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22">
        <v>1068</v>
      </c>
      <c r="E98" s="234"/>
      <c r="F98" s="237"/>
      <c r="I98" s="71" t="s">
        <v>154</v>
      </c>
      <c r="J98" s="60"/>
      <c r="K98" s="60"/>
      <c r="L98" s="57">
        <v>49</v>
      </c>
      <c r="M98" s="74"/>
    </row>
    <row r="99" spans="1:13" x14ac:dyDescent="0.2">
      <c r="B99" s="37" t="s">
        <v>151</v>
      </c>
      <c r="C99" s="22"/>
      <c r="D99" s="22">
        <v>154</v>
      </c>
      <c r="E99" s="144"/>
      <c r="F99" s="237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214</v>
      </c>
      <c r="E100" s="144"/>
      <c r="F100" s="237"/>
      <c r="H100" s="1"/>
      <c r="I100" s="69"/>
      <c r="J100" s="65"/>
      <c r="K100" s="98"/>
      <c r="L100" s="98"/>
      <c r="M100" s="99"/>
    </row>
    <row r="101" spans="1:13" x14ac:dyDescent="0.2">
      <c r="B101" s="37" t="s">
        <v>294</v>
      </c>
      <c r="C101" s="22"/>
      <c r="D101" s="242" t="s">
        <v>181</v>
      </c>
      <c r="E101" s="144"/>
      <c r="F101" s="237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145"/>
      <c r="F102" s="238"/>
      <c r="H102" s="1"/>
      <c r="I102" s="199" t="s">
        <v>112</v>
      </c>
      <c r="J102" s="196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485</v>
      </c>
      <c r="E103" s="145"/>
      <c r="F103" s="238"/>
      <c r="I103" s="102" t="s">
        <v>116</v>
      </c>
      <c r="J103" s="40"/>
      <c r="K103" s="103">
        <v>1566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614</v>
      </c>
      <c r="E104" s="145"/>
      <c r="F104" s="238"/>
      <c r="I104" s="104" t="s">
        <v>101</v>
      </c>
      <c r="J104" s="4"/>
      <c r="K104" s="105">
        <v>343</v>
      </c>
      <c r="L104" s="93"/>
      <c r="M104" s="93"/>
    </row>
    <row r="105" spans="1:13" x14ac:dyDescent="0.2">
      <c r="B105" s="21" t="s">
        <v>99</v>
      </c>
      <c r="C105" s="21"/>
      <c r="D105" s="20">
        <v>536</v>
      </c>
      <c r="E105" s="147"/>
      <c r="F105" s="239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43"/>
      <c r="F106" s="38"/>
      <c r="I106" s="199" t="s">
        <v>117</v>
      </c>
      <c r="J106" s="196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17">
        <v>30</v>
      </c>
      <c r="E107" s="115"/>
      <c r="F107" s="38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146"/>
      <c r="F108" s="240"/>
      <c r="I108" s="110" t="s">
        <v>23</v>
      </c>
      <c r="J108" s="101"/>
      <c r="K108" s="36">
        <v>3</v>
      </c>
      <c r="L108" s="36"/>
      <c r="M108" s="109">
        <f>SUM(K108:L108)</f>
        <v>3</v>
      </c>
    </row>
    <row r="109" spans="1:13" x14ac:dyDescent="0.2">
      <c r="A109" s="1" t="s">
        <v>77</v>
      </c>
      <c r="B109" s="20" t="s">
        <v>82</v>
      </c>
      <c r="C109" s="20"/>
      <c r="D109" s="17">
        <v>49</v>
      </c>
      <c r="E109" s="143">
        <v>350</v>
      </c>
      <c r="F109" s="38"/>
      <c r="I109" s="110" t="s">
        <v>24</v>
      </c>
      <c r="J109" s="101"/>
      <c r="K109" s="36">
        <v>17</v>
      </c>
      <c r="L109" s="36">
        <v>4</v>
      </c>
      <c r="M109" s="109">
        <f>SUM(K109:L109)</f>
        <v>21</v>
      </c>
    </row>
    <row r="110" spans="1:13" x14ac:dyDescent="0.2">
      <c r="A110" s="1"/>
      <c r="B110" s="115" t="s">
        <v>153</v>
      </c>
      <c r="D110" s="20">
        <v>0</v>
      </c>
      <c r="E110" s="147"/>
      <c r="F110" s="239"/>
      <c r="I110" s="110" t="s">
        <v>156</v>
      </c>
      <c r="J110" s="101"/>
      <c r="K110" s="36">
        <v>11</v>
      </c>
      <c r="L110" s="211" t="s">
        <v>181</v>
      </c>
      <c r="M110" s="109"/>
    </row>
    <row r="111" spans="1:13" x14ac:dyDescent="0.2">
      <c r="A111" s="1"/>
      <c r="B111" s="39" t="s">
        <v>182</v>
      </c>
      <c r="C111" s="20"/>
      <c r="D111" s="20">
        <v>1410</v>
      </c>
      <c r="E111" s="235"/>
      <c r="F111" s="239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20">
        <v>184</v>
      </c>
      <c r="E112" s="235"/>
      <c r="F112" s="239"/>
      <c r="I112" s="111"/>
      <c r="J112" s="98"/>
      <c r="K112" s="62"/>
      <c r="L112" s="4"/>
      <c r="M112" s="4"/>
    </row>
    <row r="113" spans="1:14" x14ac:dyDescent="0.2">
      <c r="A113" s="1"/>
      <c r="B113" s="116" t="s">
        <v>148</v>
      </c>
      <c r="C113" s="20"/>
      <c r="D113" s="20">
        <v>130</v>
      </c>
      <c r="E113" s="235"/>
      <c r="F113" s="239"/>
      <c r="I113" s="181" t="s">
        <v>111</v>
      </c>
      <c r="J113" s="188"/>
      <c r="K113" s="121">
        <v>3</v>
      </c>
      <c r="L113" s="110"/>
      <c r="M113" s="101"/>
    </row>
    <row r="114" spans="1:14" x14ac:dyDescent="0.2">
      <c r="B114" s="116" t="s">
        <v>132</v>
      </c>
      <c r="C114" s="20"/>
      <c r="D114" s="20">
        <v>163</v>
      </c>
      <c r="E114" s="235"/>
      <c r="F114" s="239"/>
      <c r="I114" s="181" t="s">
        <v>143</v>
      </c>
      <c r="J114" s="188"/>
      <c r="K114" s="121">
        <v>16</v>
      </c>
      <c r="L114" s="94" t="s">
        <v>145</v>
      </c>
      <c r="M114" s="101"/>
    </row>
    <row r="115" spans="1:14" x14ac:dyDescent="0.2">
      <c r="C115" s="2" t="s">
        <v>7</v>
      </c>
      <c r="D115">
        <f>SUM(D95:D114)</f>
        <v>8025</v>
      </c>
      <c r="E115">
        <f>SUM(E95:E114)</f>
        <v>463</v>
      </c>
      <c r="G115" s="213"/>
      <c r="H115" s="214"/>
      <c r="I115" s="213"/>
      <c r="J115" s="101"/>
      <c r="K115" s="94"/>
      <c r="L115" s="94"/>
      <c r="M115" s="101"/>
    </row>
    <row r="116" spans="1:14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4" x14ac:dyDescent="0.2">
      <c r="A117" s="71"/>
      <c r="B117" s="124"/>
      <c r="C117" s="125"/>
      <c r="D117" s="127"/>
      <c r="E117" s="126"/>
      <c r="F117" s="127"/>
    </row>
    <row r="118" spans="1:14" x14ac:dyDescent="0.2">
      <c r="A118" s="181" t="s">
        <v>58</v>
      </c>
      <c r="B118" s="188"/>
      <c r="C118" s="212"/>
      <c r="D118" s="48"/>
    </row>
    <row r="119" spans="1:14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4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4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4" x14ac:dyDescent="0.2">
      <c r="A122" s="71" t="s">
        <v>105</v>
      </c>
      <c r="B122" s="57">
        <v>48608</v>
      </c>
      <c r="C122" s="36">
        <f>96+42+32+23</f>
        <v>193</v>
      </c>
      <c r="D122" s="36">
        <v>1480</v>
      </c>
      <c r="E122" s="4">
        <f>4+44+14+8+86+29+3+30+67+1</f>
        <v>286</v>
      </c>
      <c r="F122" s="4">
        <f>59+3+20+5+2+1+5+4+5+2+2+39+17+11+4+90+3+4+2+9+3+10+2+6+19+20+4+8+1+16+2+28+10+7+3+12+15+9+4+24+5+3+3+2</f>
        <v>503</v>
      </c>
      <c r="G122" s="36">
        <v>1079</v>
      </c>
      <c r="H122" s="4">
        <f>189+1326</f>
        <v>1515</v>
      </c>
      <c r="I122" s="4">
        <v>94</v>
      </c>
      <c r="J122" s="36">
        <v>10785</v>
      </c>
      <c r="K122" s="36">
        <v>10410</v>
      </c>
      <c r="L122" s="36">
        <v>626</v>
      </c>
      <c r="M122" s="43">
        <f>SUM(B122:L122)</f>
        <v>75579</v>
      </c>
      <c r="N122" s="2"/>
    </row>
    <row r="123" spans="1:14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4" x14ac:dyDescent="0.2">
      <c r="A124" s="47" t="s">
        <v>78</v>
      </c>
      <c r="L124" s="1"/>
      <c r="M124" s="1"/>
    </row>
    <row r="125" spans="1:14" x14ac:dyDescent="0.2">
      <c r="A125" s="38"/>
      <c r="L125" s="1"/>
      <c r="M125" s="1"/>
    </row>
    <row r="126" spans="1:14" x14ac:dyDescent="0.2">
      <c r="A126" s="186" t="s">
        <v>91</v>
      </c>
      <c r="B126" s="187"/>
      <c r="C126" s="75">
        <v>157</v>
      </c>
      <c r="F126" s="186" t="s">
        <v>49</v>
      </c>
      <c r="G126" s="187"/>
      <c r="H126" s="75">
        <v>1</v>
      </c>
      <c r="J126" s="186" t="s">
        <v>75</v>
      </c>
      <c r="K126" s="187"/>
      <c r="L126" s="186"/>
      <c r="M126" s="41">
        <v>1</v>
      </c>
    </row>
    <row r="127" spans="1:14" x14ac:dyDescent="0.2">
      <c r="A127" s="203" t="s">
        <v>84</v>
      </c>
      <c r="B127" s="200"/>
      <c r="C127" s="49">
        <v>257</v>
      </c>
      <c r="F127" s="190" t="s">
        <v>50</v>
      </c>
      <c r="G127" s="191"/>
      <c r="H127" s="76">
        <v>1</v>
      </c>
      <c r="J127" s="190" t="s">
        <v>76</v>
      </c>
      <c r="K127" s="191"/>
      <c r="L127" s="190"/>
      <c r="M127" s="46">
        <v>0</v>
      </c>
    </row>
    <row r="128" spans="1:14" x14ac:dyDescent="0.2">
      <c r="A128" s="190" t="s">
        <v>92</v>
      </c>
      <c r="B128" s="202"/>
      <c r="C128" s="46">
        <v>1879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160</v>
      </c>
      <c r="D132" s="36">
        <v>15</v>
      </c>
      <c r="E132" s="36">
        <v>752</v>
      </c>
      <c r="F132" s="4">
        <v>505</v>
      </c>
      <c r="G132" s="4">
        <v>300</v>
      </c>
      <c r="H132" s="4">
        <v>8</v>
      </c>
      <c r="I132" s="4">
        <f>98+18</f>
        <v>116</v>
      </c>
      <c r="J132" s="4">
        <v>413</v>
      </c>
      <c r="K132" s="4">
        <v>605</v>
      </c>
      <c r="L132" s="4">
        <f>SUM(C132:K132)</f>
        <v>2874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3" t="s">
        <v>181</v>
      </c>
      <c r="F133" s="134">
        <v>368</v>
      </c>
      <c r="G133" s="134" t="s">
        <v>181</v>
      </c>
      <c r="H133" s="134" t="s">
        <v>181</v>
      </c>
      <c r="I133" s="134" t="s">
        <v>181</v>
      </c>
      <c r="J133" s="134">
        <v>339</v>
      </c>
      <c r="K133" s="134" t="s">
        <v>181</v>
      </c>
      <c r="L133" s="4">
        <f>SUM(C133:K133)</f>
        <v>707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0</v>
      </c>
      <c r="E134" s="208">
        <v>0</v>
      </c>
      <c r="F134" s="208">
        <v>1</v>
      </c>
      <c r="G134" s="208">
        <v>0</v>
      </c>
      <c r="H134" s="208">
        <v>1</v>
      </c>
      <c r="I134" s="135" t="s">
        <v>181</v>
      </c>
      <c r="J134" s="208">
        <v>4</v>
      </c>
      <c r="K134" s="208">
        <v>5</v>
      </c>
      <c r="L134" s="208">
        <f>SUM(C134:K134)</f>
        <v>11</v>
      </c>
    </row>
    <row r="135" spans="1:13" ht="13.5" thickTop="1" x14ac:dyDescent="0.2">
      <c r="B135" s="60" t="s">
        <v>14</v>
      </c>
      <c r="C135" s="36">
        <f>SUM(C132:C134)</f>
        <v>160</v>
      </c>
      <c r="D135" s="36">
        <f>SUM(D132:D134)</f>
        <v>15</v>
      </c>
      <c r="E135" s="36">
        <f t="shared" ref="E135:L135" si="10">SUM(E132:E134)</f>
        <v>752</v>
      </c>
      <c r="F135" s="36">
        <f t="shared" si="10"/>
        <v>874</v>
      </c>
      <c r="G135" s="36">
        <f t="shared" si="10"/>
        <v>300</v>
      </c>
      <c r="H135" s="36">
        <f t="shared" si="10"/>
        <v>9</v>
      </c>
      <c r="I135" s="36">
        <f t="shared" si="10"/>
        <v>116</v>
      </c>
      <c r="J135" s="36">
        <f t="shared" si="10"/>
        <v>756</v>
      </c>
      <c r="K135" s="36">
        <f t="shared" si="10"/>
        <v>610</v>
      </c>
      <c r="L135" s="57">
        <f t="shared" si="10"/>
        <v>3592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266</v>
      </c>
      <c r="B141" s="27"/>
      <c r="C141" s="27"/>
      <c r="D141" s="27"/>
      <c r="E141" s="27"/>
      <c r="F141" s="28"/>
      <c r="G141" s="163" t="s">
        <v>250</v>
      </c>
      <c r="H141" s="29"/>
      <c r="I141" s="82"/>
      <c r="J141" s="83"/>
      <c r="K141" s="84"/>
      <c r="L141" s="84"/>
      <c r="M141" s="119"/>
    </row>
    <row r="142" spans="1:13" x14ac:dyDescent="0.2">
      <c r="A142" s="210" t="s">
        <v>267</v>
      </c>
      <c r="B142" s="27"/>
      <c r="C142" s="27"/>
      <c r="D142" s="27"/>
      <c r="E142" s="27"/>
      <c r="F142" s="82"/>
      <c r="G142" s="163" t="s">
        <v>257</v>
      </c>
      <c r="H142" s="82"/>
      <c r="I142" s="82"/>
      <c r="J142" s="82"/>
      <c r="K142" s="85"/>
      <c r="L142" s="85"/>
      <c r="M142" s="86"/>
    </row>
    <row r="143" spans="1:13" x14ac:dyDescent="0.2">
      <c r="B143" s="27"/>
      <c r="C143" s="27"/>
      <c r="D143" s="27"/>
      <c r="E143" s="27"/>
      <c r="F143" s="28"/>
      <c r="G143" s="168" t="s">
        <v>268</v>
      </c>
      <c r="H143" s="82"/>
      <c r="I143" s="82"/>
      <c r="J143" s="82"/>
      <c r="K143" s="85"/>
      <c r="L143" s="85"/>
      <c r="M143" s="86"/>
    </row>
    <row r="144" spans="1:13" x14ac:dyDescent="0.2">
      <c r="A144" s="34" t="s">
        <v>164</v>
      </c>
      <c r="G144" s="168" t="s">
        <v>269</v>
      </c>
      <c r="M144" s="43"/>
    </row>
    <row r="145" spans="1:13" ht="18" x14ac:dyDescent="0.25">
      <c r="A145" s="161" t="s">
        <v>284</v>
      </c>
      <c r="B145" s="89"/>
      <c r="C145" s="27"/>
      <c r="D145" s="27"/>
      <c r="E145" s="27"/>
      <c r="F145" s="82"/>
      <c r="G145" s="131" t="s">
        <v>106</v>
      </c>
      <c r="H145" s="82"/>
      <c r="I145" s="29"/>
      <c r="J145" s="55"/>
      <c r="K145" s="27"/>
      <c r="L145" s="27"/>
      <c r="M145" s="30"/>
    </row>
    <row r="146" spans="1:13" ht="18" x14ac:dyDescent="0.25">
      <c r="A146" s="168" t="s">
        <v>265</v>
      </c>
      <c r="B146" s="27"/>
      <c r="C146" s="27"/>
      <c r="D146" s="27"/>
      <c r="E146" s="27"/>
      <c r="F146" s="82"/>
      <c r="G146" s="168" t="s">
        <v>251</v>
      </c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286</v>
      </c>
      <c r="B147" s="89"/>
      <c r="C147" s="27"/>
      <c r="D147" s="27"/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3" x14ac:dyDescent="0.2">
      <c r="A148" s="161" t="s">
        <v>285</v>
      </c>
      <c r="B148" s="35"/>
      <c r="C148" s="35"/>
      <c r="D148" s="27"/>
      <c r="E148" s="35"/>
      <c r="F148" s="92"/>
      <c r="G148" s="35" t="s">
        <v>168</v>
      </c>
      <c r="I148" s="82"/>
      <c r="J148" s="82"/>
      <c r="K148" s="27"/>
      <c r="L148" s="27"/>
      <c r="M148" s="30"/>
    </row>
    <row r="149" spans="1:13" x14ac:dyDescent="0.2">
      <c r="A149" s="161" t="s">
        <v>283</v>
      </c>
      <c r="B149" s="27"/>
      <c r="C149" s="27"/>
      <c r="D149" s="27"/>
      <c r="E149" s="27"/>
      <c r="F149" s="92"/>
      <c r="G149" s="163" t="s">
        <v>256</v>
      </c>
      <c r="I149" s="82"/>
      <c r="J149" s="82"/>
      <c r="K149" s="27"/>
      <c r="L149" s="27"/>
      <c r="M149" s="30"/>
    </row>
    <row r="150" spans="1:13" ht="18" x14ac:dyDescent="0.25">
      <c r="A150" s="161" t="s">
        <v>282</v>
      </c>
      <c r="B150" s="27"/>
      <c r="C150" s="27"/>
      <c r="D150" s="27"/>
      <c r="E150" s="27"/>
      <c r="F150" s="92"/>
      <c r="G150" s="89"/>
      <c r="I150" s="29"/>
      <c r="J150" s="29"/>
      <c r="K150" s="27"/>
      <c r="L150" s="27"/>
      <c r="M150" s="30"/>
    </row>
    <row r="151" spans="1:13" ht="18" x14ac:dyDescent="0.25">
      <c r="A151" s="163"/>
      <c r="B151" s="27"/>
      <c r="C151" s="27"/>
      <c r="D151" s="27"/>
      <c r="E151" s="27"/>
      <c r="F151" s="92"/>
      <c r="G151" s="89"/>
      <c r="I151" s="29"/>
      <c r="J151" s="29"/>
      <c r="K151" s="27"/>
      <c r="L151" s="27"/>
      <c r="M151" s="30"/>
    </row>
    <row r="152" spans="1:13" ht="18" x14ac:dyDescent="0.25">
      <c r="A152" s="131" t="s">
        <v>173</v>
      </c>
      <c r="F152" s="28"/>
      <c r="G152" s="131" t="s">
        <v>170</v>
      </c>
      <c r="I152" s="29"/>
      <c r="J152" s="29"/>
      <c r="K152" s="27"/>
      <c r="L152" s="27"/>
      <c r="M152" s="30"/>
    </row>
    <row r="153" spans="1:13" x14ac:dyDescent="0.2">
      <c r="A153" s="168" t="s">
        <v>249</v>
      </c>
      <c r="B153" s="27"/>
      <c r="C153" s="27"/>
      <c r="D153" s="27"/>
      <c r="E153" s="27"/>
      <c r="F153" s="28"/>
      <c r="G153" s="163" t="s">
        <v>252</v>
      </c>
      <c r="I153" s="82"/>
      <c r="J153" s="82"/>
      <c r="K153" s="85"/>
      <c r="L153" s="85"/>
      <c r="M153" s="86"/>
    </row>
    <row r="154" spans="1:13" x14ac:dyDescent="0.2">
      <c r="A154" s="168" t="s">
        <v>259</v>
      </c>
      <c r="B154" s="27"/>
      <c r="C154" s="27"/>
      <c r="D154" s="27"/>
      <c r="E154" s="27"/>
      <c r="F154" s="28"/>
      <c r="G154" s="163" t="s">
        <v>253</v>
      </c>
      <c r="I154" s="82"/>
      <c r="J154" s="82"/>
      <c r="K154" s="85"/>
      <c r="L154" s="85"/>
      <c r="M154" s="86"/>
    </row>
    <row r="155" spans="1:13" x14ac:dyDescent="0.2">
      <c r="A155" s="168" t="s">
        <v>275</v>
      </c>
      <c r="B155" s="27"/>
      <c r="C155" s="27"/>
      <c r="D155" s="27"/>
      <c r="E155" s="27"/>
      <c r="F155" s="28"/>
      <c r="G155" s="168" t="s">
        <v>254</v>
      </c>
      <c r="I155" s="82"/>
      <c r="J155" s="82"/>
      <c r="K155" s="85"/>
      <c r="L155" s="85"/>
      <c r="M155" s="86"/>
    </row>
    <row r="156" spans="1:13" x14ac:dyDescent="0.2">
      <c r="A156" s="161" t="s">
        <v>260</v>
      </c>
      <c r="B156" s="27"/>
      <c r="C156" s="27"/>
      <c r="D156" s="27"/>
      <c r="E156" s="27"/>
      <c r="F156" s="28"/>
      <c r="G156" s="163" t="s">
        <v>255</v>
      </c>
      <c r="I156" s="82"/>
      <c r="J156" s="82"/>
      <c r="K156" s="85"/>
      <c r="L156" s="85"/>
      <c r="M156" s="86"/>
    </row>
    <row r="157" spans="1:13" x14ac:dyDescent="0.2">
      <c r="A157" s="161" t="s">
        <v>261</v>
      </c>
      <c r="B157" s="27"/>
      <c r="C157" s="27"/>
      <c r="G157" s="163" t="s">
        <v>258</v>
      </c>
      <c r="M157" s="43"/>
    </row>
    <row r="158" spans="1:13" x14ac:dyDescent="0.2">
      <c r="A158" s="161" t="s">
        <v>278</v>
      </c>
      <c r="B158" s="27"/>
      <c r="C158" s="27"/>
      <c r="D158" s="27"/>
      <c r="E158" s="27"/>
      <c r="F158" s="28"/>
      <c r="G158" s="163" t="s">
        <v>262</v>
      </c>
      <c r="K158" s="85"/>
      <c r="L158" s="85"/>
      <c r="M158" s="86"/>
    </row>
    <row r="159" spans="1:13" x14ac:dyDescent="0.2">
      <c r="A159" s="161" t="s">
        <v>272</v>
      </c>
      <c r="B159" s="35"/>
      <c r="C159" s="35"/>
      <c r="D159" s="27"/>
      <c r="E159" s="27"/>
      <c r="F159" s="28"/>
      <c r="G159" s="168" t="s">
        <v>263</v>
      </c>
      <c r="I159" s="82"/>
      <c r="J159" s="82"/>
      <c r="K159" s="85"/>
      <c r="L159" s="85"/>
      <c r="M159" s="86"/>
    </row>
    <row r="160" spans="1:13" x14ac:dyDescent="0.2">
      <c r="A160" s="161" t="s">
        <v>276</v>
      </c>
      <c r="B160" s="27"/>
      <c r="C160" s="27"/>
      <c r="D160" s="27"/>
      <c r="E160" s="89"/>
      <c r="F160" s="27"/>
      <c r="G160" s="168" t="s">
        <v>264</v>
      </c>
      <c r="I160" s="27"/>
      <c r="J160" s="82"/>
      <c r="M160" s="43"/>
    </row>
    <row r="161" spans="1:13" ht="18" x14ac:dyDescent="0.25">
      <c r="A161" s="161" t="s">
        <v>279</v>
      </c>
      <c r="B161" s="27"/>
      <c r="C161" s="27"/>
      <c r="D161" s="27"/>
      <c r="E161" s="27"/>
      <c r="F161" s="28"/>
      <c r="G161" s="168" t="s">
        <v>270</v>
      </c>
      <c r="I161" s="29"/>
      <c r="J161" s="29"/>
      <c r="K161" s="27"/>
      <c r="L161" s="27"/>
      <c r="M161" s="30"/>
    </row>
    <row r="162" spans="1:13" ht="18" x14ac:dyDescent="0.25">
      <c r="A162" s="162" t="s">
        <v>273</v>
      </c>
      <c r="B162" s="27"/>
      <c r="C162" s="27"/>
      <c r="D162" s="27"/>
      <c r="E162" s="89"/>
      <c r="F162" s="82"/>
      <c r="G162" s="168" t="s">
        <v>271</v>
      </c>
      <c r="H162" s="83"/>
      <c r="I162" s="83"/>
      <c r="J162" s="82"/>
      <c r="K162" s="85"/>
      <c r="L162" s="89"/>
      <c r="M162" s="120"/>
    </row>
    <row r="163" spans="1:13" ht="18" x14ac:dyDescent="0.25">
      <c r="A163" s="162" t="s">
        <v>274</v>
      </c>
      <c r="B163" s="27"/>
      <c r="C163" s="27"/>
      <c r="D163" s="27"/>
      <c r="E163" s="27"/>
      <c r="F163" s="82"/>
      <c r="H163" s="82"/>
      <c r="I163" s="83"/>
      <c r="J163" s="83"/>
      <c r="K163" s="84"/>
      <c r="L163" s="84"/>
      <c r="M163" s="30"/>
    </row>
    <row r="164" spans="1:13" ht="18" x14ac:dyDescent="0.25">
      <c r="A164" s="247" t="s">
        <v>280</v>
      </c>
      <c r="B164" s="27"/>
      <c r="C164" s="27"/>
      <c r="D164" s="27"/>
      <c r="E164" s="27"/>
      <c r="F164" s="82"/>
      <c r="H164" s="83"/>
      <c r="I164" s="83"/>
      <c r="J164" s="83"/>
      <c r="K164" s="84"/>
      <c r="L164" s="84"/>
      <c r="M164" s="30"/>
    </row>
    <row r="165" spans="1:13" ht="18" x14ac:dyDescent="0.25">
      <c r="A165" s="168" t="s">
        <v>281</v>
      </c>
      <c r="B165" s="27"/>
      <c r="C165" s="27"/>
      <c r="D165" s="27"/>
      <c r="E165" s="89"/>
      <c r="F165" s="82"/>
      <c r="H165" s="83"/>
      <c r="I165" s="82"/>
      <c r="J165" s="83"/>
      <c r="K165" s="84"/>
      <c r="L165" s="84"/>
      <c r="M165" s="30"/>
    </row>
    <row r="166" spans="1:13" ht="18" x14ac:dyDescent="0.25">
      <c r="A166" s="249" t="s">
        <v>277</v>
      </c>
      <c r="B166" s="31"/>
      <c r="C166" s="31"/>
      <c r="D166" s="31"/>
      <c r="E166" s="117"/>
      <c r="F166" s="91"/>
      <c r="G166" s="45"/>
      <c r="H166" s="130"/>
      <c r="I166" s="91"/>
      <c r="J166" s="130"/>
      <c r="K166" s="90"/>
      <c r="L166" s="90"/>
      <c r="M166" s="114"/>
    </row>
    <row r="167" spans="1:13" x14ac:dyDescent="0.2">
      <c r="A167" s="89"/>
      <c r="B167" s="28"/>
      <c r="C167" s="82"/>
      <c r="D167" s="82"/>
      <c r="E167" s="82"/>
      <c r="F167" s="82"/>
      <c r="G167" s="85"/>
      <c r="H167" s="85"/>
      <c r="I167" s="85"/>
      <c r="J167" s="85"/>
      <c r="K167" s="84"/>
      <c r="L167" s="84"/>
      <c r="M167" s="27"/>
    </row>
    <row r="170" spans="1:13" x14ac:dyDescent="0.2">
      <c r="I170" s="36"/>
      <c r="J170" s="36"/>
      <c r="K170" s="36"/>
      <c r="L170" s="36"/>
    </row>
    <row r="171" spans="1:13" x14ac:dyDescent="0.2">
      <c r="I171" s="36"/>
      <c r="J171" s="36"/>
      <c r="K171" s="36"/>
      <c r="L171" s="36"/>
    </row>
    <row r="181" spans="6:10" ht="18" x14ac:dyDescent="0.25">
      <c r="F181" s="14"/>
      <c r="G181" s="12"/>
      <c r="H181" s="15"/>
      <c r="I181" s="15"/>
      <c r="J181" s="12"/>
    </row>
    <row r="210" spans="1:13" ht="18" x14ac:dyDescent="0.25">
      <c r="A210" s="89"/>
      <c r="B210" s="27"/>
      <c r="C210" s="27"/>
      <c r="D210" s="27"/>
      <c r="E210" s="27"/>
      <c r="F210" s="82"/>
      <c r="G210" s="83"/>
      <c r="H210" s="83"/>
      <c r="I210" s="82"/>
      <c r="J210" s="83"/>
      <c r="K210" s="84"/>
      <c r="L210" s="84"/>
      <c r="M210" s="27"/>
    </row>
  </sheetData>
  <pageMargins left="0.75" right="0.75" top="1" bottom="1" header="0.5" footer="0.5"/>
  <pageSetup scale="9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9"/>
  <sheetViews>
    <sheetView topLeftCell="A46" workbookViewId="0">
      <selection activeCell="M39" sqref="M3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 t="s">
        <v>199</v>
      </c>
      <c r="H2" s="10"/>
      <c r="I2" s="10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5" t="s">
        <v>14</v>
      </c>
    </row>
    <row r="7" spans="1:18" x14ac:dyDescent="0.2">
      <c r="A7" s="38"/>
      <c r="B7" s="36" t="s">
        <v>16</v>
      </c>
      <c r="C7" s="36">
        <v>71</v>
      </c>
      <c r="D7" s="36">
        <v>5</v>
      </c>
      <c r="E7" s="36">
        <v>97</v>
      </c>
      <c r="F7" s="72">
        <v>307</v>
      </c>
      <c r="G7" s="72">
        <v>112</v>
      </c>
      <c r="H7" s="72">
        <v>0</v>
      </c>
      <c r="I7" s="72">
        <v>0</v>
      </c>
      <c r="J7" s="72">
        <v>160</v>
      </c>
      <c r="K7" s="72">
        <v>11</v>
      </c>
      <c r="L7" s="72"/>
      <c r="M7" s="61">
        <f>SUM(C7:L7)</f>
        <v>763</v>
      </c>
    </row>
    <row r="8" spans="1:18" x14ac:dyDescent="0.2">
      <c r="A8" s="38"/>
      <c r="B8" s="57" t="s">
        <v>156</v>
      </c>
      <c r="C8" s="36">
        <v>12</v>
      </c>
      <c r="D8" s="36">
        <v>2</v>
      </c>
      <c r="E8" s="36">
        <v>7</v>
      </c>
      <c r="F8" s="72">
        <v>15</v>
      </c>
      <c r="G8" s="72">
        <v>9</v>
      </c>
      <c r="H8" s="72">
        <v>0</v>
      </c>
      <c r="I8" s="72">
        <v>1</v>
      </c>
      <c r="J8" s="72">
        <v>24</v>
      </c>
      <c r="K8" s="72">
        <v>10</v>
      </c>
      <c r="L8" s="72">
        <v>21</v>
      </c>
      <c r="M8" s="61">
        <f>SUM(C8:L8)</f>
        <v>101</v>
      </c>
    </row>
    <row r="9" spans="1:18" ht="13.5" thickBot="1" x14ac:dyDescent="0.25">
      <c r="A9" s="38"/>
      <c r="B9" s="57" t="s">
        <v>157</v>
      </c>
      <c r="C9" s="3">
        <v>8</v>
      </c>
      <c r="D9" s="3">
        <v>0</v>
      </c>
      <c r="E9" s="3">
        <v>8</v>
      </c>
      <c r="F9" s="3">
        <v>75</v>
      </c>
      <c r="G9" s="3">
        <v>3</v>
      </c>
      <c r="H9" s="3">
        <v>0</v>
      </c>
      <c r="I9" s="3">
        <v>0</v>
      </c>
      <c r="J9" s="3">
        <v>38</v>
      </c>
      <c r="K9" s="3">
        <v>0</v>
      </c>
      <c r="L9" s="3"/>
      <c r="M9" s="59">
        <f>SUM(C9:K9)</f>
        <v>132</v>
      </c>
    </row>
    <row r="10" spans="1:18" ht="13.5" thickTop="1" x14ac:dyDescent="0.2">
      <c r="A10" s="48"/>
      <c r="B10" s="65" t="s">
        <v>14</v>
      </c>
      <c r="C10" s="230">
        <f>SUM(C7:C9)</f>
        <v>91</v>
      </c>
      <c r="D10" s="230">
        <f t="shared" ref="D10:M10" si="0">SUM(D7:D9)</f>
        <v>7</v>
      </c>
      <c r="E10" s="230">
        <f t="shared" si="0"/>
        <v>112</v>
      </c>
      <c r="F10" s="230">
        <f t="shared" si="0"/>
        <v>397</v>
      </c>
      <c r="G10" s="230">
        <f t="shared" si="0"/>
        <v>124</v>
      </c>
      <c r="H10" s="230">
        <f t="shared" si="0"/>
        <v>0</v>
      </c>
      <c r="I10" s="230">
        <f t="shared" si="0"/>
        <v>1</v>
      </c>
      <c r="J10" s="230">
        <f t="shared" si="0"/>
        <v>222</v>
      </c>
      <c r="K10" s="230">
        <f t="shared" si="0"/>
        <v>21</v>
      </c>
      <c r="L10" s="230">
        <f t="shared" si="0"/>
        <v>21</v>
      </c>
      <c r="M10" s="230">
        <f t="shared" si="0"/>
        <v>996</v>
      </c>
    </row>
    <row r="11" spans="1:18" x14ac:dyDescent="0.2">
      <c r="B11" s="1"/>
      <c r="D11" s="2"/>
    </row>
    <row r="12" spans="1:18" x14ac:dyDescent="0.2">
      <c r="A12" s="186" t="s">
        <v>52</v>
      </c>
      <c r="B12" s="187"/>
      <c r="C12" s="40">
        <v>3247</v>
      </c>
      <c r="D12" s="66">
        <v>80</v>
      </c>
      <c r="E12" s="40">
        <v>25598</v>
      </c>
      <c r="F12" s="66">
        <v>11866</v>
      </c>
      <c r="G12" s="66">
        <v>9417</v>
      </c>
      <c r="H12" s="66">
        <v>106</v>
      </c>
      <c r="I12" s="66">
        <v>62</v>
      </c>
      <c r="J12" s="66">
        <v>11082</v>
      </c>
      <c r="K12" s="66">
        <v>1910</v>
      </c>
      <c r="L12" s="66"/>
      <c r="M12" s="159">
        <f>SUM(C12:K12)</f>
        <v>63368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57</v>
      </c>
      <c r="D19" s="36">
        <v>1</v>
      </c>
      <c r="E19" s="36">
        <v>130</v>
      </c>
      <c r="F19" s="4">
        <v>168</v>
      </c>
      <c r="G19" s="4">
        <v>105</v>
      </c>
      <c r="H19" s="4">
        <v>1</v>
      </c>
      <c r="I19" s="4">
        <v>5</v>
      </c>
      <c r="J19" s="4">
        <v>73</v>
      </c>
      <c r="K19" s="4">
        <v>47</v>
      </c>
      <c r="L19" s="43">
        <f>SUM(C19:K19)</f>
        <v>587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16</v>
      </c>
      <c r="F21" s="4">
        <v>16</v>
      </c>
      <c r="G21" s="4">
        <v>19</v>
      </c>
      <c r="H21" s="4">
        <v>1</v>
      </c>
      <c r="I21" s="4">
        <v>0</v>
      </c>
      <c r="J21" s="4">
        <v>26</v>
      </c>
      <c r="K21" s="4">
        <v>0</v>
      </c>
      <c r="L21" s="61">
        <f>SUM(C21:K21)</f>
        <v>79</v>
      </c>
    </row>
    <row r="22" spans="1:13" x14ac:dyDescent="0.2">
      <c r="A22" s="38"/>
      <c r="B22" s="36" t="s">
        <v>10</v>
      </c>
      <c r="C22" s="4">
        <v>4</v>
      </c>
      <c r="D22" s="4">
        <v>3</v>
      </c>
      <c r="E22" s="4">
        <v>10</v>
      </c>
      <c r="F22" s="4">
        <v>52</v>
      </c>
      <c r="G22" s="4">
        <v>18</v>
      </c>
      <c r="H22" s="4">
        <v>1</v>
      </c>
      <c r="I22" s="4">
        <v>2</v>
      </c>
      <c r="J22" s="4">
        <v>29</v>
      </c>
      <c r="K22" s="4">
        <v>4</v>
      </c>
      <c r="L22" s="61">
        <f>SUM(C22:K22)</f>
        <v>123</v>
      </c>
    </row>
    <row r="23" spans="1:13" ht="13.5" thickBot="1" x14ac:dyDescent="0.25">
      <c r="A23" s="38"/>
      <c r="B23" s="36" t="s">
        <v>9</v>
      </c>
      <c r="C23" s="3">
        <v>103</v>
      </c>
      <c r="D23" s="3">
        <v>58</v>
      </c>
      <c r="E23" s="3">
        <v>305</v>
      </c>
      <c r="F23" s="3">
        <v>320</v>
      </c>
      <c r="G23" s="3">
        <v>166</v>
      </c>
      <c r="H23" s="3">
        <v>11</v>
      </c>
      <c r="I23" s="3">
        <v>13</v>
      </c>
      <c r="J23" s="3">
        <v>498</v>
      </c>
      <c r="K23" s="3">
        <v>146</v>
      </c>
      <c r="L23" s="59">
        <f>SUM(C23:K23)</f>
        <v>1620</v>
      </c>
    </row>
    <row r="24" spans="1:13" ht="13.5" thickTop="1" x14ac:dyDescent="0.2">
      <c r="A24" s="38"/>
      <c r="B24" s="60" t="s">
        <v>14</v>
      </c>
      <c r="C24" s="36">
        <f>SUM(C19:C23)</f>
        <v>166</v>
      </c>
      <c r="D24" s="36">
        <f t="shared" ref="D24:L24" si="1">SUM(D19:D23)</f>
        <v>62</v>
      </c>
      <c r="E24" s="36">
        <f t="shared" si="1"/>
        <v>462</v>
      </c>
      <c r="F24" s="36">
        <f t="shared" si="1"/>
        <v>556</v>
      </c>
      <c r="G24" s="36">
        <f t="shared" si="1"/>
        <v>309</v>
      </c>
      <c r="H24" s="36">
        <f t="shared" si="1"/>
        <v>14</v>
      </c>
      <c r="I24" s="36">
        <f t="shared" si="1"/>
        <v>20</v>
      </c>
      <c r="J24" s="36">
        <f t="shared" si="1"/>
        <v>626</v>
      </c>
      <c r="K24" s="36">
        <f t="shared" si="1"/>
        <v>201</v>
      </c>
      <c r="L24" s="36">
        <f t="shared" si="1"/>
        <v>2416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s="2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15</v>
      </c>
      <c r="D27" s="87">
        <v>0</v>
      </c>
      <c r="E27" s="87">
        <v>3.75</v>
      </c>
      <c r="F27" s="87">
        <v>41.75</v>
      </c>
      <c r="G27" s="87">
        <v>1</v>
      </c>
      <c r="H27" s="87">
        <v>0</v>
      </c>
      <c r="I27" s="87">
        <v>0</v>
      </c>
      <c r="J27" s="87">
        <v>16.5</v>
      </c>
      <c r="K27" s="87">
        <v>12</v>
      </c>
      <c r="L27" s="87">
        <v>80.62</v>
      </c>
      <c r="M27" s="152">
        <f>SUM(B27:L27)</f>
        <v>170.62</v>
      </c>
    </row>
    <row r="29" spans="1:13" x14ac:dyDescent="0.2">
      <c r="A29" s="181" t="s">
        <v>66</v>
      </c>
      <c r="B29" s="181"/>
      <c r="C29" s="181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73" t="s">
        <v>14</v>
      </c>
    </row>
    <row r="31" spans="1:13" x14ac:dyDescent="0.2">
      <c r="B31" s="60" t="s">
        <v>17</v>
      </c>
      <c r="C31" s="36">
        <v>110</v>
      </c>
      <c r="D31" s="36">
        <v>41</v>
      </c>
      <c r="E31" s="36">
        <v>102</v>
      </c>
      <c r="F31" s="4">
        <v>168</v>
      </c>
      <c r="G31" s="4">
        <v>211</v>
      </c>
      <c r="H31" s="4">
        <v>223</v>
      </c>
      <c r="I31" s="4">
        <v>0</v>
      </c>
      <c r="J31" s="4">
        <v>159</v>
      </c>
      <c r="K31" s="4">
        <v>79</v>
      </c>
      <c r="L31" s="61">
        <f t="shared" ref="L31:L36" si="2">SUM(C31:K31)</f>
        <v>1093</v>
      </c>
    </row>
    <row r="32" spans="1:13" x14ac:dyDescent="0.2">
      <c r="B32" s="60" t="s">
        <v>18</v>
      </c>
      <c r="C32" s="36">
        <v>0</v>
      </c>
      <c r="D32" s="36">
        <v>0</v>
      </c>
      <c r="E32" s="36">
        <v>26</v>
      </c>
      <c r="F32" s="4">
        <v>70</v>
      </c>
      <c r="G32" s="4">
        <v>35</v>
      </c>
      <c r="H32" s="4">
        <v>0</v>
      </c>
      <c r="I32" s="4">
        <v>0</v>
      </c>
      <c r="J32" s="4">
        <v>26</v>
      </c>
      <c r="K32" s="4">
        <v>0</v>
      </c>
      <c r="L32" s="61">
        <f t="shared" si="2"/>
        <v>157</v>
      </c>
    </row>
    <row r="33" spans="1:12" x14ac:dyDescent="0.2">
      <c r="B33" s="60" t="s">
        <v>20</v>
      </c>
      <c r="C33" s="36">
        <v>193</v>
      </c>
      <c r="D33" s="36">
        <v>180</v>
      </c>
      <c r="E33" s="36">
        <v>604</v>
      </c>
      <c r="F33" s="36">
        <v>330</v>
      </c>
      <c r="G33" s="36">
        <v>501</v>
      </c>
      <c r="H33" s="4">
        <v>4</v>
      </c>
      <c r="I33" s="4">
        <v>0</v>
      </c>
      <c r="J33" s="36">
        <v>459</v>
      </c>
      <c r="K33" s="4">
        <v>0</v>
      </c>
      <c r="L33" s="61">
        <f t="shared" si="2"/>
        <v>2271</v>
      </c>
    </row>
    <row r="34" spans="1:12" x14ac:dyDescent="0.2">
      <c r="B34" s="60" t="s">
        <v>113</v>
      </c>
      <c r="C34" s="4">
        <f>22+38</f>
        <v>60</v>
      </c>
      <c r="D34" s="4">
        <f>16+24</f>
        <v>40</v>
      </c>
      <c r="E34" s="4">
        <f>21+32</f>
        <v>53</v>
      </c>
      <c r="F34" s="4">
        <f>27+22</f>
        <v>49</v>
      </c>
      <c r="G34" s="4">
        <f>25+23</f>
        <v>48</v>
      </c>
      <c r="H34" s="4">
        <f>27+51</f>
        <v>78</v>
      </c>
      <c r="I34" s="4">
        <v>16</v>
      </c>
      <c r="J34" s="4">
        <f>114+19</f>
        <v>133</v>
      </c>
      <c r="K34" s="4">
        <f>3+26</f>
        <v>29</v>
      </c>
      <c r="L34" s="61">
        <f t="shared" si="2"/>
        <v>506</v>
      </c>
    </row>
    <row r="35" spans="1:12" ht="13.5" thickBot="1" x14ac:dyDescent="0.25">
      <c r="B35" s="16" t="s">
        <v>19</v>
      </c>
      <c r="C35" s="3">
        <f>C76</f>
        <v>39</v>
      </c>
      <c r="D35" s="3">
        <f t="shared" ref="D35:K35" si="3">D76</f>
        <v>31</v>
      </c>
      <c r="E35" s="3">
        <f t="shared" si="3"/>
        <v>154</v>
      </c>
      <c r="F35" s="3">
        <f t="shared" si="3"/>
        <v>174</v>
      </c>
      <c r="G35" s="3">
        <f t="shared" si="3"/>
        <v>137</v>
      </c>
      <c r="H35" s="3">
        <f t="shared" si="3"/>
        <v>25</v>
      </c>
      <c r="I35" s="3">
        <f t="shared" si="3"/>
        <v>13</v>
      </c>
      <c r="J35" s="3">
        <f t="shared" si="3"/>
        <v>253</v>
      </c>
      <c r="K35" s="3">
        <f t="shared" si="3"/>
        <v>107</v>
      </c>
      <c r="L35" s="150">
        <f t="shared" si="2"/>
        <v>933</v>
      </c>
    </row>
    <row r="36" spans="1:12" ht="13.5" thickTop="1" x14ac:dyDescent="0.2">
      <c r="B36" s="65" t="s">
        <v>14</v>
      </c>
      <c r="C36" s="45">
        <f t="shared" ref="C36:K36" si="4">SUM(C31:C35)</f>
        <v>402</v>
      </c>
      <c r="D36" s="45">
        <f t="shared" si="4"/>
        <v>292</v>
      </c>
      <c r="E36" s="45">
        <f t="shared" si="4"/>
        <v>939</v>
      </c>
      <c r="F36" s="45">
        <f t="shared" si="4"/>
        <v>791</v>
      </c>
      <c r="G36" s="45">
        <f t="shared" si="4"/>
        <v>932</v>
      </c>
      <c r="H36" s="45">
        <f t="shared" si="4"/>
        <v>330</v>
      </c>
      <c r="I36" s="45">
        <f t="shared" si="4"/>
        <v>29</v>
      </c>
      <c r="J36" s="45">
        <f t="shared" si="4"/>
        <v>1030</v>
      </c>
      <c r="K36" s="45">
        <f t="shared" si="4"/>
        <v>215</v>
      </c>
      <c r="L36" s="95">
        <f t="shared" si="2"/>
        <v>4960</v>
      </c>
    </row>
    <row r="38" spans="1:12" x14ac:dyDescent="0.2">
      <c r="A38" s="186" t="s">
        <v>57</v>
      </c>
      <c r="B38" s="187"/>
      <c r="C38" s="40">
        <v>14</v>
      </c>
      <c r="D38" s="40">
        <v>0</v>
      </c>
      <c r="E38" s="40">
        <v>16</v>
      </c>
      <c r="F38" s="66">
        <v>11</v>
      </c>
      <c r="G38" s="66">
        <v>13</v>
      </c>
      <c r="H38" s="66">
        <v>0</v>
      </c>
      <c r="I38" s="66">
        <v>0</v>
      </c>
      <c r="J38" s="66">
        <v>16</v>
      </c>
      <c r="K38" s="66">
        <v>0</v>
      </c>
      <c r="L38" s="154">
        <f>SUM(C38:K38)</f>
        <v>70</v>
      </c>
    </row>
    <row r="39" spans="1:12" ht="13.5" thickBot="1" x14ac:dyDescent="0.25">
      <c r="A39" s="71" t="s">
        <v>158</v>
      </c>
      <c r="B39" s="60"/>
      <c r="C39" s="3">
        <v>0</v>
      </c>
      <c r="D39" s="3"/>
      <c r="E39" s="3">
        <v>1</v>
      </c>
      <c r="F39" s="3">
        <v>27</v>
      </c>
      <c r="G39" s="3">
        <v>43</v>
      </c>
      <c r="H39" s="3">
        <v>0</v>
      </c>
      <c r="I39" s="3">
        <v>0</v>
      </c>
      <c r="J39" s="3">
        <v>512</v>
      </c>
      <c r="K39" s="3">
        <v>0</v>
      </c>
      <c r="L39" s="150">
        <f>SUM(C39:K39)</f>
        <v>583</v>
      </c>
    </row>
    <row r="40" spans="1:12" ht="13.5" thickTop="1" x14ac:dyDescent="0.2">
      <c r="A40" s="69"/>
      <c r="B40" s="65" t="s">
        <v>7</v>
      </c>
      <c r="C40" s="45">
        <f>SUM(C38:C39)</f>
        <v>14</v>
      </c>
      <c r="D40" s="45">
        <f t="shared" ref="D40:K40" si="5">SUM(D38:D39)</f>
        <v>0</v>
      </c>
      <c r="E40" s="45">
        <f t="shared" si="5"/>
        <v>17</v>
      </c>
      <c r="F40" s="45">
        <f t="shared" si="5"/>
        <v>38</v>
      </c>
      <c r="G40" s="45">
        <f t="shared" si="5"/>
        <v>56</v>
      </c>
      <c r="H40" s="45">
        <f t="shared" si="5"/>
        <v>0</v>
      </c>
      <c r="I40" s="45">
        <f t="shared" si="5"/>
        <v>0</v>
      </c>
      <c r="J40" s="45">
        <f t="shared" si="5"/>
        <v>528</v>
      </c>
      <c r="K40" s="45">
        <f t="shared" si="5"/>
        <v>0</v>
      </c>
      <c r="L40" s="156">
        <f>SUM(L38:L39)</f>
        <v>653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55"/>
    </row>
    <row r="42" spans="1:12" x14ac:dyDescent="0.2">
      <c r="A42" s="181" t="s">
        <v>56</v>
      </c>
      <c r="B42" s="188"/>
      <c r="C42" s="157">
        <v>0</v>
      </c>
      <c r="D42" s="157"/>
      <c r="E42" s="157"/>
      <c r="F42" s="158"/>
      <c r="G42" s="158">
        <v>13</v>
      </c>
      <c r="H42" s="158"/>
      <c r="I42" s="158">
        <v>0</v>
      </c>
      <c r="J42" s="158">
        <v>23</v>
      </c>
      <c r="K42" s="158">
        <v>0</v>
      </c>
      <c r="L42" s="159">
        <f>SUM(C42:K42)</f>
        <v>36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1">
        <f>SUM(C44:K44)</f>
        <v>0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6">
        <f>SUM(C45:K45)</f>
        <v>0</v>
      </c>
    </row>
    <row r="46" spans="1:12" x14ac:dyDescent="0.2">
      <c r="A46" s="38"/>
    </row>
    <row r="47" spans="1:12" x14ac:dyDescent="0.2">
      <c r="A47" s="186" t="s">
        <v>240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73" t="s">
        <v>14</v>
      </c>
    </row>
    <row r="49" spans="2:12" x14ac:dyDescent="0.2">
      <c r="B49" s="38" t="s">
        <v>73</v>
      </c>
      <c r="C49" s="36">
        <v>5</v>
      </c>
      <c r="D49" s="36">
        <v>3</v>
      </c>
      <c r="E49" s="36">
        <v>6</v>
      </c>
      <c r="F49" s="4">
        <v>17</v>
      </c>
      <c r="G49" s="4">
        <v>13</v>
      </c>
      <c r="H49" s="4">
        <v>5</v>
      </c>
      <c r="I49" s="4"/>
      <c r="J49" s="4">
        <v>29</v>
      </c>
      <c r="K49" s="4">
        <v>3</v>
      </c>
      <c r="L49" s="61">
        <f t="shared" ref="L49:L76" si="6">SUM(C49:K49)</f>
        <v>81</v>
      </c>
    </row>
    <row r="50" spans="2:12" x14ac:dyDescent="0.2">
      <c r="B50" s="42" t="s">
        <v>119</v>
      </c>
      <c r="C50" s="36">
        <v>2</v>
      </c>
      <c r="D50" s="36">
        <v>1</v>
      </c>
      <c r="E50" s="4">
        <v>2</v>
      </c>
      <c r="F50" s="36">
        <v>3</v>
      </c>
      <c r="G50" s="36">
        <v>6</v>
      </c>
      <c r="H50" s="36"/>
      <c r="I50" s="4">
        <v>1</v>
      </c>
      <c r="J50" s="36">
        <v>5</v>
      </c>
      <c r="K50" s="36">
        <v>1</v>
      </c>
      <c r="L50" s="61">
        <f t="shared" si="6"/>
        <v>21</v>
      </c>
    </row>
    <row r="51" spans="2:12" x14ac:dyDescent="0.2">
      <c r="B51" s="42" t="s">
        <v>108</v>
      </c>
      <c r="C51" s="36">
        <v>0</v>
      </c>
      <c r="D51" s="36">
        <v>0</v>
      </c>
      <c r="E51" s="36">
        <v>9</v>
      </c>
      <c r="F51" s="36">
        <v>13</v>
      </c>
      <c r="G51" s="36">
        <v>3</v>
      </c>
      <c r="H51" s="4"/>
      <c r="I51" s="36"/>
      <c r="J51" s="4">
        <v>2</v>
      </c>
      <c r="K51" s="4"/>
      <c r="L51" s="61">
        <f t="shared" si="6"/>
        <v>27</v>
      </c>
    </row>
    <row r="52" spans="2:12" x14ac:dyDescent="0.2">
      <c r="B52" s="42" t="s">
        <v>144</v>
      </c>
      <c r="C52" s="36"/>
      <c r="D52" s="4">
        <v>0</v>
      </c>
      <c r="E52" s="4">
        <v>0</v>
      </c>
      <c r="F52" s="36"/>
      <c r="G52" s="36"/>
      <c r="H52" s="36"/>
      <c r="I52" s="36"/>
      <c r="J52" s="4">
        <v>4</v>
      </c>
      <c r="K52" s="4">
        <v>1</v>
      </c>
      <c r="L52" s="61">
        <f t="shared" si="6"/>
        <v>5</v>
      </c>
    </row>
    <row r="53" spans="2:12" x14ac:dyDescent="0.2">
      <c r="B53" s="42" t="s">
        <v>159</v>
      </c>
      <c r="C53" s="4">
        <v>10</v>
      </c>
      <c r="D53" s="4">
        <v>6</v>
      </c>
      <c r="E53" s="4">
        <v>3</v>
      </c>
      <c r="F53" s="4"/>
      <c r="G53" s="4">
        <v>9</v>
      </c>
      <c r="H53" s="36"/>
      <c r="I53" s="36"/>
      <c r="J53" s="4">
        <v>21</v>
      </c>
      <c r="K53" s="4">
        <v>18</v>
      </c>
      <c r="L53" s="61">
        <f t="shared" si="6"/>
        <v>67</v>
      </c>
    </row>
    <row r="54" spans="2:12" x14ac:dyDescent="0.2">
      <c r="B54" s="42" t="s">
        <v>109</v>
      </c>
      <c r="C54" s="4">
        <v>2</v>
      </c>
      <c r="D54" s="4">
        <v>0</v>
      </c>
      <c r="E54" s="4">
        <v>16</v>
      </c>
      <c r="F54" s="4">
        <v>10</v>
      </c>
      <c r="G54" s="4">
        <v>4</v>
      </c>
      <c r="H54" s="36"/>
      <c r="I54" s="36"/>
      <c r="J54" s="4">
        <v>0</v>
      </c>
      <c r="K54" s="36"/>
      <c r="L54" s="61">
        <f t="shared" si="6"/>
        <v>32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>
        <v>0</v>
      </c>
      <c r="K55" s="36"/>
      <c r="L55" s="61">
        <f>SUM(C55:K55)</f>
        <v>0</v>
      </c>
    </row>
    <row r="56" spans="2:12" x14ac:dyDescent="0.2">
      <c r="B56" s="42" t="s">
        <v>93</v>
      </c>
      <c r="C56" s="36">
        <v>0</v>
      </c>
      <c r="D56" s="36"/>
      <c r="E56" s="4"/>
      <c r="F56" s="4"/>
      <c r="G56" s="4"/>
      <c r="H56" s="4"/>
      <c r="I56" s="4"/>
      <c r="J56" s="4">
        <v>1</v>
      </c>
      <c r="K56" s="4"/>
      <c r="L56" s="61">
        <f t="shared" si="6"/>
        <v>1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4">
        <v>1</v>
      </c>
      <c r="K57" s="4">
        <v>1</v>
      </c>
      <c r="L57" s="61">
        <f t="shared" si="6"/>
        <v>2</v>
      </c>
    </row>
    <row r="58" spans="2:12" x14ac:dyDescent="0.2">
      <c r="B58" s="42" t="s">
        <v>107</v>
      </c>
      <c r="C58" s="36"/>
      <c r="D58" s="36"/>
      <c r="E58" s="4">
        <v>4</v>
      </c>
      <c r="F58" s="4">
        <v>3</v>
      </c>
      <c r="G58" s="4"/>
      <c r="H58" s="4"/>
      <c r="I58" s="36"/>
      <c r="J58" s="4">
        <v>2</v>
      </c>
      <c r="K58" s="4">
        <v>6</v>
      </c>
      <c r="L58" s="61">
        <f t="shared" si="6"/>
        <v>15</v>
      </c>
    </row>
    <row r="59" spans="2:12" x14ac:dyDescent="0.2">
      <c r="B59" s="42" t="s">
        <v>110</v>
      </c>
      <c r="C59" s="36">
        <v>3</v>
      </c>
      <c r="D59" s="36">
        <v>4</v>
      </c>
      <c r="E59" s="4">
        <v>6</v>
      </c>
      <c r="F59" s="4">
        <v>9</v>
      </c>
      <c r="G59" s="4">
        <v>3</v>
      </c>
      <c r="H59" s="4">
        <v>1</v>
      </c>
      <c r="I59" s="4">
        <v>4</v>
      </c>
      <c r="J59" s="4">
        <v>24</v>
      </c>
      <c r="K59" s="4">
        <v>2</v>
      </c>
      <c r="L59" s="61">
        <f t="shared" si="6"/>
        <v>56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/>
      <c r="J60" s="4">
        <v>0</v>
      </c>
      <c r="K60" s="4"/>
      <c r="L60" s="61">
        <f t="shared" si="6"/>
        <v>0</v>
      </c>
    </row>
    <row r="61" spans="2:12" x14ac:dyDescent="0.2">
      <c r="B61" s="38" t="s">
        <v>42</v>
      </c>
      <c r="C61" s="36">
        <v>3</v>
      </c>
      <c r="D61" s="36">
        <v>6</v>
      </c>
      <c r="E61" s="4">
        <v>19</v>
      </c>
      <c r="F61" s="4">
        <v>8</v>
      </c>
      <c r="G61" s="4">
        <v>14</v>
      </c>
      <c r="H61" s="4">
        <v>11</v>
      </c>
      <c r="I61" s="4">
        <v>7</v>
      </c>
      <c r="J61" s="4">
        <v>20</v>
      </c>
      <c r="K61" s="4">
        <v>9</v>
      </c>
      <c r="L61" s="61">
        <f t="shared" si="6"/>
        <v>97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>
        <v>0</v>
      </c>
      <c r="K62" s="4"/>
      <c r="L62" s="61">
        <f t="shared" si="6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>
        <v>0</v>
      </c>
      <c r="K63" s="4"/>
      <c r="L63" s="61">
        <f t="shared" si="6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>
        <v>0</v>
      </c>
      <c r="K64" s="4"/>
      <c r="L64" s="61">
        <f t="shared" si="6"/>
        <v>0</v>
      </c>
    </row>
    <row r="65" spans="1:13" x14ac:dyDescent="0.2">
      <c r="B65" s="42" t="s">
        <v>163</v>
      </c>
      <c r="C65" s="36"/>
      <c r="D65" s="36"/>
      <c r="E65" s="36"/>
      <c r="F65" s="36"/>
      <c r="G65" s="4">
        <v>2</v>
      </c>
      <c r="H65" s="4"/>
      <c r="I65" s="4"/>
      <c r="J65" s="4">
        <v>0</v>
      </c>
      <c r="K65" s="4">
        <v>2</v>
      </c>
      <c r="L65" s="61">
        <f t="shared" si="6"/>
        <v>4</v>
      </c>
    </row>
    <row r="66" spans="1:13" x14ac:dyDescent="0.2">
      <c r="B66" s="38" t="s">
        <v>83</v>
      </c>
      <c r="C66" s="4">
        <v>5</v>
      </c>
      <c r="D66" s="4">
        <v>7</v>
      </c>
      <c r="E66" s="4">
        <v>34</v>
      </c>
      <c r="F66" s="4">
        <v>42</v>
      </c>
      <c r="G66" s="4">
        <v>6</v>
      </c>
      <c r="H66" s="4">
        <v>4</v>
      </c>
      <c r="I66" s="4">
        <v>1</v>
      </c>
      <c r="J66" s="4">
        <v>68</v>
      </c>
      <c r="K66" s="4">
        <v>44</v>
      </c>
      <c r="L66" s="61">
        <f t="shared" si="6"/>
        <v>211</v>
      </c>
    </row>
    <row r="67" spans="1:13" x14ac:dyDescent="0.2">
      <c r="B67" s="42" t="s">
        <v>161</v>
      </c>
      <c r="C67" s="4"/>
      <c r="D67" s="4"/>
      <c r="E67" s="4">
        <v>12</v>
      </c>
      <c r="F67" s="4"/>
      <c r="G67" s="4"/>
      <c r="H67" s="4"/>
      <c r="I67" s="4"/>
      <c r="J67" s="4">
        <v>0</v>
      </c>
      <c r="K67" s="4"/>
      <c r="L67" s="61">
        <f t="shared" si="6"/>
        <v>12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>
        <v>0</v>
      </c>
      <c r="K68" s="4"/>
      <c r="L68" s="61">
        <f t="shared" si="6"/>
        <v>0</v>
      </c>
    </row>
    <row r="69" spans="1:13" x14ac:dyDescent="0.2">
      <c r="B69" s="42" t="s">
        <v>94</v>
      </c>
      <c r="C69" s="4"/>
      <c r="D69" s="36"/>
      <c r="E69" s="4">
        <v>1</v>
      </c>
      <c r="F69" s="4">
        <v>10</v>
      </c>
      <c r="G69" s="4">
        <v>13</v>
      </c>
      <c r="H69" s="4"/>
      <c r="I69" s="4"/>
      <c r="J69" s="4">
        <v>15</v>
      </c>
      <c r="K69" s="4"/>
      <c r="L69" s="61">
        <f t="shared" si="6"/>
        <v>39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>
        <v>0</v>
      </c>
      <c r="K70" s="4"/>
      <c r="L70" s="61">
        <f t="shared" si="6"/>
        <v>0</v>
      </c>
    </row>
    <row r="71" spans="1:13" x14ac:dyDescent="0.2">
      <c r="B71" s="42" t="s">
        <v>44</v>
      </c>
      <c r="C71" s="4">
        <v>9</v>
      </c>
      <c r="D71" s="36">
        <v>4</v>
      </c>
      <c r="E71" s="4">
        <v>29</v>
      </c>
      <c r="F71" s="4">
        <v>53</v>
      </c>
      <c r="G71" s="4">
        <v>60</v>
      </c>
      <c r="H71" s="4">
        <v>4</v>
      </c>
      <c r="I71" s="4"/>
      <c r="J71" s="4">
        <v>52</v>
      </c>
      <c r="K71" s="4">
        <v>19</v>
      </c>
      <c r="L71" s="61">
        <f t="shared" si="6"/>
        <v>230</v>
      </c>
    </row>
    <row r="72" spans="1:13" x14ac:dyDescent="0.2">
      <c r="B72" s="42" t="s">
        <v>43</v>
      </c>
      <c r="C72" s="36"/>
      <c r="D72" s="36"/>
      <c r="E72" s="4">
        <v>13</v>
      </c>
      <c r="F72" s="4">
        <v>5</v>
      </c>
      <c r="G72" s="4">
        <v>4</v>
      </c>
      <c r="H72" s="4"/>
      <c r="I72" s="4"/>
      <c r="J72" s="4">
        <v>2</v>
      </c>
      <c r="K72" s="4">
        <v>1</v>
      </c>
      <c r="L72" s="61">
        <f t="shared" si="6"/>
        <v>25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4">
        <v>0</v>
      </c>
      <c r="K73" s="4"/>
      <c r="L73" s="61">
        <f t="shared" si="6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4">
        <v>0</v>
      </c>
      <c r="K74" s="4"/>
      <c r="L74" s="61">
        <f t="shared" si="6"/>
        <v>0</v>
      </c>
    </row>
    <row r="75" spans="1:13" ht="13.5" thickBot="1" x14ac:dyDescent="0.25">
      <c r="B75" s="80" t="s">
        <v>67</v>
      </c>
      <c r="C75" s="3"/>
      <c r="D75" s="3"/>
      <c r="E75" s="3"/>
      <c r="F75" s="3">
        <v>1</v>
      </c>
      <c r="G75" s="3"/>
      <c r="H75" s="3"/>
      <c r="I75" s="3"/>
      <c r="J75" s="3">
        <v>7</v>
      </c>
      <c r="K75" s="3"/>
      <c r="L75" s="150">
        <f t="shared" si="6"/>
        <v>8</v>
      </c>
    </row>
    <row r="76" spans="1:13" ht="13.5" thickTop="1" x14ac:dyDescent="0.2">
      <c r="B76" s="69" t="s">
        <v>7</v>
      </c>
      <c r="C76" s="45">
        <f t="shared" ref="C76:K76" si="7">SUM(C49:C75)</f>
        <v>39</v>
      </c>
      <c r="D76" s="45">
        <f t="shared" si="7"/>
        <v>31</v>
      </c>
      <c r="E76" s="45">
        <f t="shared" si="7"/>
        <v>154</v>
      </c>
      <c r="F76" s="45">
        <f t="shared" si="7"/>
        <v>174</v>
      </c>
      <c r="G76" s="45">
        <f t="shared" si="7"/>
        <v>137</v>
      </c>
      <c r="H76" s="45">
        <f t="shared" si="7"/>
        <v>25</v>
      </c>
      <c r="I76" s="45">
        <f t="shared" si="7"/>
        <v>13</v>
      </c>
      <c r="J76" s="45">
        <f t="shared" si="7"/>
        <v>253</v>
      </c>
      <c r="K76" s="45">
        <f t="shared" si="7"/>
        <v>107</v>
      </c>
      <c r="L76" s="151">
        <f t="shared" si="6"/>
        <v>933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215"/>
      <c r="M78" s="6"/>
    </row>
    <row r="79" spans="1:13" x14ac:dyDescent="0.2">
      <c r="A79" s="94" t="s">
        <v>123</v>
      </c>
      <c r="C79" s="43">
        <v>6</v>
      </c>
      <c r="D79" s="6"/>
      <c r="E79" s="38" t="s">
        <v>9</v>
      </c>
      <c r="F79" s="36"/>
      <c r="G79" s="43">
        <f>369+80</f>
        <v>449</v>
      </c>
      <c r="I79" s="42" t="s">
        <v>133</v>
      </c>
      <c r="J79" s="36"/>
      <c r="K79" s="36">
        <v>518</v>
      </c>
      <c r="L79" s="43"/>
      <c r="M79" s="6"/>
    </row>
    <row r="80" spans="1:13" x14ac:dyDescent="0.2">
      <c r="A80" s="42" t="s">
        <v>29</v>
      </c>
      <c r="B80" s="36"/>
      <c r="C80" s="43">
        <v>8</v>
      </c>
      <c r="D80" s="6"/>
      <c r="E80" s="38" t="s">
        <v>10</v>
      </c>
      <c r="F80" s="36"/>
      <c r="G80" s="43">
        <f>62+51</f>
        <v>113</v>
      </c>
      <c r="I80" s="42" t="s">
        <v>134</v>
      </c>
      <c r="J80" s="36"/>
      <c r="K80" s="36">
        <v>121</v>
      </c>
      <c r="L80" s="43"/>
      <c r="M80" s="6"/>
    </row>
    <row r="81" spans="1:13" x14ac:dyDescent="0.2">
      <c r="A81" s="42" t="s">
        <v>124</v>
      </c>
      <c r="B81" s="36"/>
      <c r="C81" s="43">
        <v>83</v>
      </c>
      <c r="D81" s="6"/>
      <c r="E81" s="38" t="s">
        <v>11</v>
      </c>
      <c r="F81" s="36"/>
      <c r="G81" s="43">
        <v>39</v>
      </c>
      <c r="I81" s="42" t="s">
        <v>46</v>
      </c>
      <c r="J81" s="36"/>
      <c r="K81" s="36">
        <v>13</v>
      </c>
      <c r="L81" s="43"/>
      <c r="M81" s="6"/>
    </row>
    <row r="82" spans="1:13" x14ac:dyDescent="0.2">
      <c r="A82" s="42" t="s">
        <v>125</v>
      </c>
      <c r="B82" s="57"/>
      <c r="C82" s="43">
        <f>313+9</f>
        <v>322</v>
      </c>
      <c r="D82" s="6"/>
      <c r="E82" s="38" t="s">
        <v>38</v>
      </c>
      <c r="F82" s="36"/>
      <c r="G82" s="43">
        <f>152+2</f>
        <v>154</v>
      </c>
      <c r="I82" s="42" t="s">
        <v>47</v>
      </c>
      <c r="J82" s="36"/>
      <c r="K82" s="4">
        <v>1</v>
      </c>
      <c r="L82" s="43"/>
      <c r="M82" s="6"/>
    </row>
    <row r="83" spans="1:13" x14ac:dyDescent="0.2">
      <c r="A83" s="42" t="s">
        <v>106</v>
      </c>
      <c r="B83" s="57"/>
      <c r="C83" s="43">
        <f>44+26</f>
        <v>70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>
        <v>0</v>
      </c>
      <c r="L83" s="46"/>
      <c r="M83" s="6"/>
    </row>
    <row r="84" spans="1:13" x14ac:dyDescent="0.2">
      <c r="A84" s="42" t="s">
        <v>146</v>
      </c>
      <c r="B84" s="57"/>
      <c r="C84" s="43">
        <v>28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18</v>
      </c>
    </row>
    <row r="86" spans="1:13" x14ac:dyDescent="0.2">
      <c r="A86" s="42" t="s">
        <v>126</v>
      </c>
      <c r="B86" s="36"/>
      <c r="C86" s="43">
        <v>2</v>
      </c>
      <c r="E86" s="186" t="s">
        <v>31</v>
      </c>
      <c r="F86" s="193"/>
      <c r="G86" s="194"/>
      <c r="H86" s="215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39</v>
      </c>
    </row>
    <row r="88" spans="1:13" x14ac:dyDescent="0.2">
      <c r="A88" s="104" t="s">
        <v>128</v>
      </c>
      <c r="B88" s="57"/>
      <c r="C88" s="43">
        <v>2</v>
      </c>
      <c r="E88" s="42" t="s">
        <v>33</v>
      </c>
      <c r="F88" s="57"/>
      <c r="G88" s="57"/>
      <c r="H88" s="49">
        <v>36</v>
      </c>
    </row>
    <row r="89" spans="1:13" x14ac:dyDescent="0.2">
      <c r="A89" s="104" t="s">
        <v>18</v>
      </c>
      <c r="C89" s="61">
        <v>12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f>385+120+117</f>
        <v>622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3834</v>
      </c>
      <c r="E95" s="142"/>
      <c r="F95" s="236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>
        <v>20</v>
      </c>
      <c r="E96" s="143"/>
      <c r="F96" s="38"/>
      <c r="H96" s="1"/>
      <c r="I96" s="71" t="s">
        <v>139</v>
      </c>
      <c r="J96" s="60"/>
      <c r="L96">
        <v>140</v>
      </c>
      <c r="M96" s="43"/>
    </row>
    <row r="97" spans="1:13" x14ac:dyDescent="0.2">
      <c r="A97" s="1"/>
      <c r="B97" s="17" t="s">
        <v>147</v>
      </c>
      <c r="C97" s="17"/>
      <c r="D97" s="39">
        <v>130</v>
      </c>
      <c r="E97" s="143">
        <v>203</v>
      </c>
      <c r="F97" s="38"/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22">
        <v>555</v>
      </c>
      <c r="E98" s="234"/>
      <c r="F98" s="237"/>
      <c r="I98" s="71" t="s">
        <v>154</v>
      </c>
      <c r="J98" s="60"/>
      <c r="K98" s="60"/>
      <c r="L98" s="57">
        <v>48</v>
      </c>
      <c r="M98" s="74"/>
    </row>
    <row r="99" spans="1:13" x14ac:dyDescent="0.2">
      <c r="B99" s="37" t="s">
        <v>151</v>
      </c>
      <c r="C99" s="22"/>
      <c r="D99" s="22">
        <v>65</v>
      </c>
      <c r="E99" s="144"/>
      <c r="F99" s="237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422</v>
      </c>
      <c r="E100" s="144"/>
      <c r="F100" s="237"/>
      <c r="H100" s="1"/>
      <c r="I100" s="69"/>
      <c r="J100" s="65"/>
      <c r="K100" s="98"/>
      <c r="L100" s="98"/>
      <c r="M100" s="99"/>
    </row>
    <row r="101" spans="1:13" x14ac:dyDescent="0.2">
      <c r="B101" s="37" t="s">
        <v>294</v>
      </c>
      <c r="C101" s="22"/>
      <c r="D101" s="22"/>
      <c r="E101" s="144"/>
      <c r="F101" s="237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145"/>
      <c r="F102" s="238"/>
      <c r="H102" s="1"/>
      <c r="I102" s="199" t="s">
        <v>112</v>
      </c>
      <c r="J102" s="196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164</v>
      </c>
      <c r="E103" s="145"/>
      <c r="F103" s="238"/>
      <c r="I103" s="102" t="s">
        <v>116</v>
      </c>
      <c r="J103" s="40"/>
      <c r="K103" s="103">
        <v>1587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271</v>
      </c>
      <c r="E104" s="145"/>
      <c r="F104" s="238"/>
      <c r="I104" s="104" t="s">
        <v>101</v>
      </c>
      <c r="J104" s="4"/>
      <c r="K104" s="105">
        <v>307</v>
      </c>
      <c r="L104" s="93"/>
      <c r="M104" s="93"/>
    </row>
    <row r="105" spans="1:13" x14ac:dyDescent="0.2">
      <c r="B105" s="21" t="s">
        <v>99</v>
      </c>
      <c r="C105" s="21"/>
      <c r="D105" s="20">
        <v>151</v>
      </c>
      <c r="E105" s="147"/>
      <c r="F105" s="239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43"/>
      <c r="F106" s="38"/>
      <c r="I106" s="199" t="s">
        <v>117</v>
      </c>
      <c r="J106" s="196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17">
        <v>67</v>
      </c>
      <c r="E107" s="115"/>
      <c r="F107" s="38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146"/>
      <c r="F108" s="240"/>
      <c r="I108" s="110" t="s">
        <v>23</v>
      </c>
      <c r="J108" s="101"/>
      <c r="K108" s="36">
        <v>1</v>
      </c>
      <c r="L108" s="36">
        <v>0</v>
      </c>
      <c r="M108" s="109">
        <v>1</v>
      </c>
    </row>
    <row r="109" spans="1:13" x14ac:dyDescent="0.2">
      <c r="A109" s="1" t="s">
        <v>77</v>
      </c>
      <c r="B109" s="20" t="s">
        <v>82</v>
      </c>
      <c r="C109" s="20"/>
      <c r="D109" s="17">
        <v>14</v>
      </c>
      <c r="E109" s="143">
        <v>287</v>
      </c>
      <c r="F109" s="38"/>
      <c r="I109" s="110" t="s">
        <v>24</v>
      </c>
      <c r="J109" s="101"/>
      <c r="K109" s="36">
        <v>27</v>
      </c>
      <c r="L109" s="36">
        <v>7</v>
      </c>
      <c r="M109" s="109">
        <v>34</v>
      </c>
    </row>
    <row r="110" spans="1:13" x14ac:dyDescent="0.2">
      <c r="A110" s="1"/>
      <c r="B110" s="115" t="s">
        <v>153</v>
      </c>
      <c r="D110" s="20">
        <v>0</v>
      </c>
      <c r="E110" s="147"/>
      <c r="F110" s="239"/>
      <c r="I110" s="110" t="s">
        <v>156</v>
      </c>
      <c r="J110" s="101"/>
      <c r="K110" s="36">
        <v>2</v>
      </c>
      <c r="L110" s="233" t="s">
        <v>181</v>
      </c>
      <c r="M110" s="109">
        <v>2</v>
      </c>
    </row>
    <row r="111" spans="1:13" x14ac:dyDescent="0.2">
      <c r="A111" s="1"/>
      <c r="B111" s="39" t="s">
        <v>182</v>
      </c>
      <c r="C111" s="20"/>
      <c r="D111" s="20">
        <v>4084</v>
      </c>
      <c r="E111" s="235"/>
      <c r="F111" s="239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20">
        <v>328</v>
      </c>
      <c r="E112" s="235"/>
      <c r="F112" s="239"/>
      <c r="I112" s="111"/>
      <c r="J112" s="98"/>
      <c r="K112" s="62"/>
      <c r="L112" s="4"/>
      <c r="M112" s="4"/>
    </row>
    <row r="113" spans="1:14" x14ac:dyDescent="0.2">
      <c r="A113" s="1"/>
      <c r="B113" s="116" t="s">
        <v>148</v>
      </c>
      <c r="C113" s="20"/>
      <c r="D113" s="20">
        <v>254</v>
      </c>
      <c r="E113" s="235"/>
      <c r="F113" s="239"/>
      <c r="I113" s="181" t="s">
        <v>111</v>
      </c>
      <c r="J113" s="188"/>
      <c r="K113" s="121">
        <v>8</v>
      </c>
      <c r="L113" s="110"/>
      <c r="M113" s="101"/>
    </row>
    <row r="114" spans="1:14" x14ac:dyDescent="0.2">
      <c r="B114" s="116" t="s">
        <v>132</v>
      </c>
      <c r="C114" s="20"/>
      <c r="D114" s="20">
        <v>82</v>
      </c>
      <c r="E114" s="235"/>
      <c r="F114" s="239"/>
      <c r="I114" s="181" t="s">
        <v>143</v>
      </c>
      <c r="J114" s="188"/>
      <c r="K114" s="121">
        <v>1</v>
      </c>
      <c r="L114" s="94" t="s">
        <v>145</v>
      </c>
      <c r="M114" s="101"/>
    </row>
    <row r="115" spans="1:14" x14ac:dyDescent="0.2">
      <c r="C115" s="1" t="s">
        <v>7</v>
      </c>
      <c r="D115">
        <f>SUM(D95:D114)</f>
        <v>10441</v>
      </c>
      <c r="E115">
        <f>SUM(E95:E114)</f>
        <v>490</v>
      </c>
      <c r="G115" s="213"/>
      <c r="H115" s="214"/>
      <c r="I115" s="213"/>
      <c r="J115" s="101"/>
      <c r="K115" s="94"/>
      <c r="L115" s="94"/>
      <c r="M115" s="101"/>
    </row>
    <row r="116" spans="1:14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4" x14ac:dyDescent="0.2">
      <c r="A117" s="71"/>
      <c r="B117" s="124"/>
      <c r="C117" s="127"/>
      <c r="D117" s="127"/>
      <c r="E117" s="126"/>
      <c r="F117" s="127"/>
    </row>
    <row r="118" spans="1:14" x14ac:dyDescent="0.2">
      <c r="A118" s="181" t="s">
        <v>58</v>
      </c>
      <c r="B118" s="188"/>
      <c r="C118" s="205"/>
      <c r="D118" s="45"/>
    </row>
    <row r="119" spans="1:14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4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4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4" x14ac:dyDescent="0.2">
      <c r="A122" s="71" t="s">
        <v>105</v>
      </c>
      <c r="B122" s="57">
        <v>48685</v>
      </c>
      <c r="C122" s="36">
        <f>96+42+32+23</f>
        <v>193</v>
      </c>
      <c r="D122" s="36">
        <v>1479</v>
      </c>
      <c r="E122" s="4">
        <f>4+44+14+8+86+29+30+67+6+1</f>
        <v>289</v>
      </c>
      <c r="F122" s="4">
        <f>59+3+20+5+2+1+5+4+5+2+2+39+17+11+4+90+3+4+2+9+3+10+2+19+20+4+8+1+16+2+28+10+7+3+12+15+9+4+24+5+3+3+2+3</f>
        <v>500</v>
      </c>
      <c r="G122" s="36">
        <v>1069</v>
      </c>
      <c r="H122" s="4">
        <f>189+1406</f>
        <v>1595</v>
      </c>
      <c r="I122" s="4">
        <f>94</f>
        <v>94</v>
      </c>
      <c r="J122" s="36">
        <v>9864</v>
      </c>
      <c r="K122" s="36">
        <f>10415</f>
        <v>10415</v>
      </c>
      <c r="L122" s="36">
        <f>630</f>
        <v>630</v>
      </c>
      <c r="M122" s="43">
        <f>SUM(B122:L122)</f>
        <v>74813</v>
      </c>
      <c r="N122" s="2"/>
    </row>
    <row r="123" spans="1:14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4" x14ac:dyDescent="0.2">
      <c r="A124" s="47" t="s">
        <v>78</v>
      </c>
      <c r="L124" s="1"/>
      <c r="M124" s="1"/>
    </row>
    <row r="125" spans="1:14" x14ac:dyDescent="0.2">
      <c r="A125" s="38"/>
      <c r="L125" s="1"/>
      <c r="M125" s="1"/>
    </row>
    <row r="126" spans="1:14" x14ac:dyDescent="0.2">
      <c r="A126" s="186">
        <f t="shared" ref="A126:B128" si="8">SUM(L33)</f>
        <v>2271</v>
      </c>
      <c r="B126" s="187">
        <f t="shared" si="8"/>
        <v>0</v>
      </c>
      <c r="C126" s="75">
        <v>137</v>
      </c>
      <c r="F126" s="186" t="s">
        <v>49</v>
      </c>
      <c r="G126" s="187"/>
      <c r="H126" s="75">
        <v>2</v>
      </c>
      <c r="J126" s="186" t="s">
        <v>75</v>
      </c>
      <c r="K126" s="187"/>
      <c r="L126" s="186"/>
      <c r="M126" s="41">
        <v>5</v>
      </c>
    </row>
    <row r="127" spans="1:14" x14ac:dyDescent="0.2">
      <c r="A127" s="203">
        <f t="shared" si="8"/>
        <v>506</v>
      </c>
      <c r="B127" s="200">
        <f t="shared" si="8"/>
        <v>0</v>
      </c>
      <c r="C127" s="49">
        <v>187</v>
      </c>
      <c r="F127" s="190" t="s">
        <v>50</v>
      </c>
      <c r="G127" s="191"/>
      <c r="H127" s="76">
        <v>1</v>
      </c>
      <c r="J127" s="190" t="s">
        <v>76</v>
      </c>
      <c r="K127" s="191"/>
      <c r="L127" s="190"/>
      <c r="M127" s="46">
        <v>0</v>
      </c>
    </row>
    <row r="128" spans="1:14" x14ac:dyDescent="0.2">
      <c r="A128" s="190">
        <f t="shared" si="8"/>
        <v>933</v>
      </c>
      <c r="B128" s="202">
        <f t="shared" si="8"/>
        <v>0</v>
      </c>
      <c r="C128" s="46">
        <v>1047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1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74" t="s">
        <v>14</v>
      </c>
    </row>
    <row r="132" spans="1:13" x14ac:dyDescent="0.2">
      <c r="A132" s="38"/>
      <c r="B132" s="60" t="s">
        <v>195</v>
      </c>
      <c r="C132" s="36">
        <f>39+111</f>
        <v>150</v>
      </c>
      <c r="D132" s="36">
        <f>29+12</f>
        <v>41</v>
      </c>
      <c r="E132" s="36">
        <f>525+246</f>
        <v>771</v>
      </c>
      <c r="F132" s="4">
        <f>326+151</f>
        <v>477</v>
      </c>
      <c r="G132" s="4">
        <f>227+78</f>
        <v>305</v>
      </c>
      <c r="H132" s="4">
        <f>6+0</f>
        <v>6</v>
      </c>
      <c r="I132" s="4">
        <f>54+16</f>
        <v>70</v>
      </c>
      <c r="J132" s="4">
        <f>258+98</f>
        <v>356</v>
      </c>
      <c r="K132" s="4">
        <f>349+142</f>
        <v>491</v>
      </c>
      <c r="L132" s="61">
        <f>SUM(C132:K132)</f>
        <v>2667</v>
      </c>
    </row>
    <row r="133" spans="1:13" x14ac:dyDescent="0.2">
      <c r="A133" s="38"/>
      <c r="B133" s="60" t="s">
        <v>9</v>
      </c>
      <c r="C133" s="231" t="s">
        <v>181</v>
      </c>
      <c r="D133" s="231" t="s">
        <v>181</v>
      </c>
      <c r="E133" s="231" t="s">
        <v>181</v>
      </c>
      <c r="F133" s="134">
        <f>268+84</f>
        <v>352</v>
      </c>
      <c r="G133" s="232" t="s">
        <v>181</v>
      </c>
      <c r="H133" s="232" t="s">
        <v>181</v>
      </c>
      <c r="I133" s="232" t="s">
        <v>181</v>
      </c>
      <c r="J133" s="134">
        <f>191+83</f>
        <v>274</v>
      </c>
      <c r="K133" s="232" t="s">
        <v>181</v>
      </c>
      <c r="L133" s="61">
        <f>SUM(C133:K133)</f>
        <v>626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f>9</f>
        <v>9</v>
      </c>
      <c r="E134" s="208">
        <f>3</f>
        <v>3</v>
      </c>
      <c r="F134" s="208">
        <f>3+2</f>
        <v>5</v>
      </c>
      <c r="G134" s="208">
        <v>0</v>
      </c>
      <c r="H134" s="208">
        <v>3</v>
      </c>
      <c r="I134" s="135" t="s">
        <v>181</v>
      </c>
      <c r="J134" s="208">
        <v>1</v>
      </c>
      <c r="K134" s="208">
        <v>3</v>
      </c>
      <c r="L134" s="177">
        <f>SUM(C134:K134)</f>
        <v>24</v>
      </c>
    </row>
    <row r="135" spans="1:13" ht="13.5" thickTop="1" x14ac:dyDescent="0.2">
      <c r="B135" s="60" t="s">
        <v>14</v>
      </c>
      <c r="C135" s="36">
        <f>SUM(C132:C134)</f>
        <v>150</v>
      </c>
      <c r="D135" s="36">
        <f>SUM(D132:D134)</f>
        <v>50</v>
      </c>
      <c r="E135" s="36">
        <f t="shared" ref="E135:L135" si="9">SUM(E132:E134)</f>
        <v>774</v>
      </c>
      <c r="F135" s="36">
        <f t="shared" si="9"/>
        <v>834</v>
      </c>
      <c r="G135" s="36">
        <f t="shared" si="9"/>
        <v>305</v>
      </c>
      <c r="H135" s="36">
        <f t="shared" si="9"/>
        <v>9</v>
      </c>
      <c r="I135" s="36">
        <f t="shared" si="9"/>
        <v>70</v>
      </c>
      <c r="J135" s="36">
        <f t="shared" si="9"/>
        <v>631</v>
      </c>
      <c r="K135" s="36">
        <f t="shared" si="9"/>
        <v>494</v>
      </c>
      <c r="L135" s="49">
        <f t="shared" si="9"/>
        <v>3317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4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6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316</v>
      </c>
      <c r="B141" s="27"/>
      <c r="C141" s="27"/>
      <c r="D141" s="27"/>
      <c r="E141" s="27"/>
      <c r="F141" s="28"/>
      <c r="G141" s="163"/>
      <c r="H141" s="29"/>
      <c r="I141" s="82"/>
      <c r="J141" s="83"/>
      <c r="K141" s="84"/>
      <c r="L141" s="84"/>
      <c r="M141" s="119"/>
    </row>
    <row r="142" spans="1:13" x14ac:dyDescent="0.2">
      <c r="B142" s="27"/>
      <c r="C142" s="27"/>
      <c r="D142" s="27"/>
      <c r="E142" s="27"/>
      <c r="F142" s="82"/>
      <c r="G142" s="163"/>
      <c r="H142" s="82"/>
      <c r="I142" s="82"/>
      <c r="J142" s="82"/>
      <c r="K142" s="85"/>
      <c r="L142" s="85"/>
      <c r="M142" s="86"/>
    </row>
    <row r="143" spans="1:13" x14ac:dyDescent="0.2">
      <c r="A143" s="246" t="s">
        <v>164</v>
      </c>
      <c r="B143" s="27"/>
      <c r="C143" s="27"/>
      <c r="D143" s="27"/>
      <c r="E143" s="27"/>
      <c r="F143" s="28"/>
      <c r="G143" s="168"/>
      <c r="H143" s="82"/>
      <c r="I143" s="82"/>
      <c r="J143" s="82"/>
      <c r="K143" s="85"/>
      <c r="L143" s="85"/>
      <c r="M143" s="86"/>
    </row>
    <row r="144" spans="1:13" x14ac:dyDescent="0.2">
      <c r="A144" s="247" t="s">
        <v>287</v>
      </c>
      <c r="G144" s="168"/>
      <c r="M144" s="43"/>
    </row>
    <row r="145" spans="1:13" ht="18" x14ac:dyDescent="0.25">
      <c r="A145" s="161" t="s">
        <v>288</v>
      </c>
      <c r="B145" s="89"/>
      <c r="C145" s="27"/>
      <c r="D145" s="27"/>
      <c r="E145" s="27"/>
      <c r="F145" s="82"/>
      <c r="G145" s="131"/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321</v>
      </c>
      <c r="B146" s="27"/>
      <c r="C146" s="27"/>
      <c r="D146" s="27"/>
      <c r="E146" s="27"/>
      <c r="F146" s="82"/>
      <c r="G146" s="35" t="s">
        <v>168</v>
      </c>
      <c r="H146" s="29"/>
      <c r="I146" s="82"/>
      <c r="J146" s="82"/>
      <c r="K146" s="27"/>
      <c r="L146" s="27"/>
      <c r="M146" s="30"/>
    </row>
    <row r="147" spans="1:13" ht="18" x14ac:dyDescent="0.25">
      <c r="A147" s="168" t="s">
        <v>295</v>
      </c>
      <c r="B147" s="89"/>
      <c r="C147" s="27"/>
      <c r="D147" s="27"/>
      <c r="E147" s="27"/>
      <c r="F147" s="27"/>
      <c r="G147" s="163" t="s">
        <v>299</v>
      </c>
      <c r="H147" s="29"/>
      <c r="I147" s="29"/>
      <c r="J147" s="29"/>
      <c r="K147" s="29"/>
      <c r="L147" s="27"/>
      <c r="M147" s="30"/>
    </row>
    <row r="148" spans="1:13" x14ac:dyDescent="0.2">
      <c r="A148" s="161" t="s">
        <v>311</v>
      </c>
      <c r="B148" s="35"/>
      <c r="C148" s="35"/>
      <c r="D148" s="27"/>
      <c r="E148" s="35"/>
      <c r="F148" s="92"/>
      <c r="G148" s="163" t="s">
        <v>298</v>
      </c>
      <c r="I148" s="82"/>
      <c r="J148" s="82"/>
      <c r="K148" s="27"/>
      <c r="L148" s="27"/>
      <c r="M148" s="30"/>
    </row>
    <row r="149" spans="1:13" x14ac:dyDescent="0.2">
      <c r="A149" s="161" t="s">
        <v>312</v>
      </c>
      <c r="B149" s="27"/>
      <c r="C149" s="27"/>
      <c r="D149" s="27"/>
      <c r="E149" s="27"/>
      <c r="F149" s="92"/>
      <c r="G149" s="163" t="s">
        <v>300</v>
      </c>
      <c r="I149" s="82"/>
      <c r="J149" s="82"/>
      <c r="K149" s="27"/>
      <c r="L149" s="27"/>
      <c r="M149" s="30"/>
    </row>
    <row r="150" spans="1:13" ht="18" x14ac:dyDescent="0.25">
      <c r="A150" s="161" t="s">
        <v>304</v>
      </c>
      <c r="B150" s="27"/>
      <c r="C150" s="27"/>
      <c r="D150" s="27"/>
      <c r="E150" s="27"/>
      <c r="F150" s="92"/>
      <c r="G150" s="168" t="s">
        <v>305</v>
      </c>
      <c r="I150" s="29"/>
      <c r="J150" s="29"/>
      <c r="K150" s="27"/>
      <c r="L150" s="27"/>
      <c r="M150" s="30"/>
    </row>
    <row r="151" spans="1:13" ht="18" x14ac:dyDescent="0.25">
      <c r="A151" s="161" t="s">
        <v>310</v>
      </c>
      <c r="B151" s="27"/>
      <c r="C151" s="27"/>
      <c r="D151" s="27"/>
      <c r="E151" s="27"/>
      <c r="F151" s="92"/>
      <c r="G151" s="163" t="s">
        <v>306</v>
      </c>
      <c r="I151" s="29"/>
      <c r="J151" s="29"/>
      <c r="K151" s="27"/>
      <c r="L151" s="27"/>
      <c r="M151" s="30"/>
    </row>
    <row r="152" spans="1:13" ht="18" x14ac:dyDescent="0.25">
      <c r="A152" s="163" t="s">
        <v>322</v>
      </c>
      <c r="F152" s="28"/>
      <c r="G152" s="163" t="s">
        <v>318</v>
      </c>
      <c r="I152" s="29"/>
      <c r="J152" s="29"/>
      <c r="K152" s="27"/>
      <c r="L152" s="27"/>
      <c r="M152" s="30"/>
    </row>
    <row r="153" spans="1:13" x14ac:dyDescent="0.2">
      <c r="A153" s="168" t="s">
        <v>315</v>
      </c>
      <c r="B153" s="27"/>
      <c r="C153" s="27"/>
      <c r="D153" s="27"/>
      <c r="E153" s="27"/>
      <c r="F153" s="28"/>
      <c r="G153" s="168" t="s">
        <v>324</v>
      </c>
      <c r="I153" s="82"/>
      <c r="J153" s="82"/>
      <c r="K153" s="85"/>
      <c r="L153" s="85"/>
      <c r="M153" s="86"/>
    </row>
    <row r="154" spans="1:13" x14ac:dyDescent="0.2">
      <c r="A154" s="82" t="s">
        <v>323</v>
      </c>
      <c r="B154" s="27"/>
      <c r="C154" s="27"/>
      <c r="D154" s="27"/>
      <c r="E154" s="27"/>
      <c r="F154" s="28"/>
      <c r="G154" s="168" t="s">
        <v>325</v>
      </c>
      <c r="I154" s="82"/>
      <c r="J154" s="82"/>
      <c r="K154" s="85"/>
      <c r="L154" s="85"/>
      <c r="M154" s="86"/>
    </row>
    <row r="155" spans="1:13" x14ac:dyDescent="0.2">
      <c r="A155" s="82"/>
      <c r="B155" s="27"/>
      <c r="C155" s="27"/>
      <c r="D155" s="27"/>
      <c r="E155" s="27"/>
      <c r="F155" s="28"/>
      <c r="I155" s="82"/>
      <c r="J155" s="82"/>
      <c r="K155" s="85"/>
      <c r="L155" s="85"/>
      <c r="M155" s="86"/>
    </row>
    <row r="156" spans="1:13" x14ac:dyDescent="0.2">
      <c r="A156" s="34" t="s">
        <v>173</v>
      </c>
      <c r="B156" s="27"/>
      <c r="C156" s="27"/>
      <c r="D156" s="27"/>
      <c r="E156" s="27"/>
      <c r="F156" s="28"/>
      <c r="G156" s="131" t="s">
        <v>170</v>
      </c>
      <c r="I156" s="82"/>
      <c r="J156" s="82"/>
      <c r="K156" s="85"/>
      <c r="L156" s="85"/>
      <c r="M156" s="86"/>
    </row>
    <row r="157" spans="1:13" x14ac:dyDescent="0.2">
      <c r="A157" s="161" t="s">
        <v>296</v>
      </c>
      <c r="B157" s="27"/>
      <c r="C157" s="27"/>
      <c r="G157" s="163" t="s">
        <v>289</v>
      </c>
      <c r="M157" s="43"/>
    </row>
    <row r="158" spans="1:13" x14ac:dyDescent="0.2">
      <c r="A158" s="248" t="s">
        <v>307</v>
      </c>
      <c r="B158" s="27"/>
      <c r="C158" s="27"/>
      <c r="D158" s="27"/>
      <c r="E158" s="27"/>
      <c r="F158" s="28"/>
      <c r="G158" s="163" t="s">
        <v>290</v>
      </c>
      <c r="K158" s="85"/>
      <c r="L158" s="85"/>
      <c r="M158" s="86"/>
    </row>
    <row r="159" spans="1:13" x14ac:dyDescent="0.2">
      <c r="A159" s="161" t="s">
        <v>301</v>
      </c>
      <c r="B159" s="35"/>
      <c r="C159" s="35"/>
      <c r="D159" s="27"/>
      <c r="E159" s="27"/>
      <c r="F159" s="28"/>
      <c r="G159" s="163" t="s">
        <v>309</v>
      </c>
      <c r="I159" s="82"/>
      <c r="J159" s="82"/>
      <c r="K159" s="85"/>
      <c r="L159" s="85"/>
      <c r="M159" s="86"/>
    </row>
    <row r="160" spans="1:13" x14ac:dyDescent="0.2">
      <c r="A160" s="161" t="s">
        <v>303</v>
      </c>
      <c r="B160" s="27"/>
      <c r="C160" s="27"/>
      <c r="D160" s="27"/>
      <c r="E160" s="89"/>
      <c r="F160" s="27"/>
      <c r="G160" s="168" t="s">
        <v>317</v>
      </c>
      <c r="I160" s="27"/>
      <c r="J160" s="82"/>
      <c r="M160" s="43"/>
    </row>
    <row r="161" spans="1:13" ht="18" x14ac:dyDescent="0.25">
      <c r="A161" s="161" t="s">
        <v>302</v>
      </c>
      <c r="B161" s="27"/>
      <c r="C161" s="27"/>
      <c r="D161" s="27"/>
      <c r="E161" s="27"/>
      <c r="F161" s="28"/>
      <c r="G161" s="168" t="s">
        <v>320</v>
      </c>
      <c r="I161" s="29"/>
      <c r="J161" s="29"/>
      <c r="K161" s="27"/>
      <c r="L161" s="27"/>
      <c r="M161" s="30"/>
    </row>
    <row r="162" spans="1:13" ht="18" x14ac:dyDescent="0.25">
      <c r="A162" s="161" t="s">
        <v>297</v>
      </c>
      <c r="B162" s="27"/>
      <c r="C162" s="27"/>
      <c r="D162" s="27"/>
      <c r="E162" s="89"/>
      <c r="F162" s="82"/>
      <c r="G162" s="168"/>
      <c r="H162" s="83"/>
      <c r="I162" s="83"/>
      <c r="J162" s="82"/>
      <c r="K162" s="85"/>
      <c r="L162" s="89"/>
      <c r="M162" s="120"/>
    </row>
    <row r="163" spans="1:13" ht="18" x14ac:dyDescent="0.25">
      <c r="A163" s="162" t="s">
        <v>308</v>
      </c>
      <c r="B163" s="27"/>
      <c r="C163" s="27"/>
      <c r="D163" s="27"/>
      <c r="E163" s="27"/>
      <c r="F163" s="82"/>
      <c r="H163" s="82"/>
      <c r="I163" s="83"/>
      <c r="J163" s="83"/>
      <c r="K163" s="84"/>
      <c r="L163" s="84"/>
      <c r="M163" s="30"/>
    </row>
    <row r="164" spans="1:13" ht="18" x14ac:dyDescent="0.25">
      <c r="A164" s="162" t="s">
        <v>314</v>
      </c>
      <c r="B164" s="27"/>
      <c r="C164" s="27"/>
      <c r="D164" s="27"/>
      <c r="E164" s="27"/>
      <c r="F164" s="82"/>
      <c r="H164" s="83"/>
      <c r="I164" s="83"/>
      <c r="J164" s="83"/>
      <c r="K164" s="84"/>
      <c r="L164" s="84"/>
      <c r="M164" s="30"/>
    </row>
    <row r="165" spans="1:13" ht="18" x14ac:dyDescent="0.25">
      <c r="A165" s="168" t="s">
        <v>319</v>
      </c>
      <c r="B165" s="27"/>
      <c r="C165" s="27"/>
      <c r="D165" s="27"/>
      <c r="E165" s="89"/>
      <c r="F165" s="82"/>
      <c r="H165" s="83"/>
      <c r="I165" s="82"/>
      <c r="J165" s="83"/>
      <c r="K165" s="84"/>
      <c r="L165" s="84"/>
      <c r="M165" s="30"/>
    </row>
    <row r="166" spans="1:13" ht="18" x14ac:dyDescent="0.25">
      <c r="A166" s="67"/>
      <c r="B166" s="31"/>
      <c r="C166" s="31"/>
      <c r="D166" s="31"/>
      <c r="E166" s="117"/>
      <c r="F166" s="91"/>
      <c r="G166" s="45"/>
      <c r="H166" s="130"/>
      <c r="I166" s="91"/>
      <c r="J166" s="130"/>
      <c r="K166" s="90"/>
      <c r="L166" s="90"/>
      <c r="M166" s="114"/>
    </row>
    <row r="167" spans="1:13" x14ac:dyDescent="0.2">
      <c r="A167" s="216"/>
      <c r="B167" s="217"/>
      <c r="C167" s="218"/>
      <c r="D167" s="218"/>
      <c r="E167" s="218"/>
      <c r="F167" s="218"/>
      <c r="G167" s="218"/>
      <c r="H167" s="218"/>
      <c r="I167" s="218"/>
      <c r="J167" s="218"/>
      <c r="K167" s="219"/>
      <c r="L167" s="219"/>
      <c r="M167" s="220"/>
    </row>
    <row r="168" spans="1:13" x14ac:dyDescent="0.2">
      <c r="A168" s="197"/>
      <c r="B168" s="197"/>
      <c r="C168" s="197"/>
      <c r="D168" s="197"/>
      <c r="E168" s="197"/>
      <c r="F168" s="197"/>
      <c r="G168" s="197"/>
      <c r="H168" s="197"/>
      <c r="I168" s="197"/>
      <c r="J168" s="197"/>
      <c r="K168" s="197"/>
      <c r="L168" s="197"/>
      <c r="M168" s="197"/>
    </row>
    <row r="169" spans="1:13" ht="18" x14ac:dyDescent="0.25">
      <c r="A169" s="197"/>
      <c r="B169" s="197"/>
      <c r="C169" s="197"/>
      <c r="D169" s="197"/>
      <c r="E169" s="221"/>
      <c r="F169" s="221"/>
      <c r="G169" s="222"/>
      <c r="H169" s="222"/>
      <c r="I169" s="222"/>
      <c r="J169" s="223"/>
      <c r="K169" s="197"/>
      <c r="L169" s="197"/>
      <c r="M169" s="197"/>
    </row>
    <row r="170" spans="1:13" ht="18" x14ac:dyDescent="0.25">
      <c r="A170" s="197"/>
      <c r="B170" s="197"/>
      <c r="C170" s="197"/>
      <c r="D170" s="197"/>
      <c r="E170" s="197"/>
      <c r="F170" s="224"/>
      <c r="G170" s="223"/>
      <c r="H170" s="222"/>
      <c r="I170" s="222"/>
      <c r="J170" s="223"/>
      <c r="K170" s="197"/>
      <c r="L170" s="197"/>
      <c r="M170" s="197"/>
    </row>
    <row r="171" spans="1:13" x14ac:dyDescent="0.2">
      <c r="A171" s="197"/>
      <c r="B171" s="197"/>
      <c r="C171" s="197"/>
      <c r="D171" s="197"/>
      <c r="E171" s="197"/>
      <c r="F171" s="197"/>
      <c r="G171" s="197"/>
      <c r="H171" s="197"/>
      <c r="I171" s="197"/>
      <c r="J171" s="197"/>
      <c r="K171" s="197"/>
      <c r="L171" s="197"/>
      <c r="M171" s="197"/>
    </row>
    <row r="172" spans="1:13" x14ac:dyDescent="0.2">
      <c r="A172" s="197"/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</row>
    <row r="173" spans="1:13" x14ac:dyDescent="0.2">
      <c r="A173" s="197"/>
      <c r="B173" s="197"/>
      <c r="C173" s="197"/>
      <c r="D173" s="197"/>
      <c r="E173" s="197"/>
      <c r="F173" s="197"/>
      <c r="G173" s="197"/>
      <c r="H173" s="197"/>
      <c r="I173" s="197"/>
      <c r="J173" s="197"/>
      <c r="K173" s="197"/>
      <c r="L173" s="197"/>
      <c r="M173" s="197"/>
    </row>
    <row r="174" spans="1:13" x14ac:dyDescent="0.2">
      <c r="A174" s="225"/>
      <c r="B174" s="225"/>
      <c r="C174" s="226"/>
      <c r="D174" s="226"/>
      <c r="E174" s="226"/>
      <c r="F174" s="226"/>
      <c r="G174" s="226"/>
      <c r="H174" s="226"/>
      <c r="I174" s="226"/>
      <c r="J174" s="226"/>
      <c r="K174" s="226"/>
      <c r="L174" s="226"/>
      <c r="M174" s="226"/>
    </row>
    <row r="175" spans="1:13" x14ac:dyDescent="0.2">
      <c r="A175" s="197"/>
      <c r="B175" s="197"/>
      <c r="C175" s="197"/>
      <c r="D175" s="197"/>
      <c r="E175" s="197"/>
      <c r="F175" s="227"/>
      <c r="G175" s="227"/>
      <c r="H175" s="227"/>
      <c r="I175" s="227"/>
      <c r="J175" s="227"/>
      <c r="K175" s="227"/>
      <c r="L175" s="227"/>
      <c r="M175" s="197"/>
    </row>
    <row r="176" spans="1:13" x14ac:dyDescent="0.2">
      <c r="A176" s="197"/>
      <c r="B176" s="226"/>
      <c r="C176" s="197"/>
      <c r="D176" s="197"/>
      <c r="E176" s="197"/>
      <c r="F176" s="227"/>
      <c r="G176" s="227"/>
      <c r="H176" s="227"/>
      <c r="I176" s="227"/>
      <c r="J176" s="227"/>
      <c r="K176" s="227"/>
      <c r="L176" s="227"/>
      <c r="M176" s="197"/>
    </row>
    <row r="177" spans="1:14" x14ac:dyDescent="0.2">
      <c r="A177" s="197"/>
      <c r="B177" s="226"/>
      <c r="C177" s="197"/>
      <c r="D177" s="197"/>
      <c r="E177" s="197"/>
      <c r="F177" s="197"/>
      <c r="G177" s="197"/>
      <c r="H177" s="197"/>
      <c r="I177" s="197"/>
      <c r="J177" s="197"/>
      <c r="K177" s="197"/>
      <c r="L177" s="197"/>
      <c r="M177" s="197"/>
    </row>
    <row r="178" spans="1:14" x14ac:dyDescent="0.2">
      <c r="A178" s="197"/>
      <c r="B178" s="225"/>
      <c r="C178" s="197"/>
      <c r="D178" s="197"/>
      <c r="E178" s="197"/>
      <c r="F178" s="197"/>
      <c r="G178" s="197"/>
      <c r="H178" s="197"/>
      <c r="I178" s="197"/>
      <c r="J178" s="197"/>
      <c r="K178" s="197"/>
      <c r="L178" s="197"/>
      <c r="M178" s="197"/>
    </row>
    <row r="179" spans="1:14" x14ac:dyDescent="0.2">
      <c r="A179" s="197"/>
      <c r="B179" s="225"/>
      <c r="C179" s="197"/>
      <c r="D179" s="226"/>
      <c r="E179" s="197"/>
      <c r="F179" s="197"/>
      <c r="G179" s="197"/>
      <c r="H179" s="197"/>
      <c r="I179" s="197"/>
      <c r="J179" s="197"/>
      <c r="K179" s="197"/>
      <c r="L179" s="197"/>
      <c r="M179" s="197"/>
    </row>
    <row r="180" spans="1:14" x14ac:dyDescent="0.2">
      <c r="A180" s="225"/>
      <c r="B180" s="225"/>
      <c r="C180" s="197"/>
      <c r="D180" s="228"/>
      <c r="E180" s="197"/>
      <c r="F180" s="228"/>
      <c r="G180" s="228"/>
      <c r="H180" s="228"/>
      <c r="I180" s="228"/>
      <c r="J180" s="228"/>
      <c r="K180" s="228"/>
      <c r="L180" s="228"/>
      <c r="M180" s="228"/>
      <c r="N180" s="27"/>
    </row>
    <row r="181" spans="1:14" x14ac:dyDescent="0.2">
      <c r="A181" s="226"/>
      <c r="B181" s="225"/>
      <c r="C181" s="226"/>
      <c r="D181" s="197"/>
      <c r="E181" s="197"/>
      <c r="F181" s="228"/>
      <c r="G181" s="228"/>
      <c r="H181" s="228"/>
      <c r="I181" s="228"/>
      <c r="J181" s="228"/>
      <c r="K181" s="228"/>
      <c r="L181" s="228"/>
      <c r="M181" s="197"/>
    </row>
    <row r="182" spans="1:14" x14ac:dyDescent="0.2">
      <c r="A182" s="197"/>
      <c r="B182" s="197"/>
      <c r="C182" s="197"/>
      <c r="D182" s="197"/>
      <c r="E182" s="197"/>
      <c r="F182" s="197"/>
      <c r="G182" s="197"/>
      <c r="H182" s="197"/>
      <c r="I182" s="197"/>
      <c r="J182" s="197"/>
      <c r="K182" s="197"/>
      <c r="L182" s="197"/>
      <c r="M182" s="197"/>
    </row>
    <row r="183" spans="1:14" x14ac:dyDescent="0.2">
      <c r="A183" s="197"/>
      <c r="B183" s="197"/>
      <c r="C183" s="197"/>
      <c r="D183" s="197"/>
      <c r="E183" s="197"/>
      <c r="F183" s="197"/>
      <c r="G183" s="197"/>
      <c r="H183" s="197"/>
      <c r="I183" s="197"/>
      <c r="J183" s="197"/>
      <c r="K183" s="197"/>
      <c r="L183" s="197"/>
      <c r="M183" s="197"/>
    </row>
    <row r="184" spans="1:14" x14ac:dyDescent="0.2">
      <c r="A184" s="225"/>
      <c r="B184" s="225"/>
      <c r="C184" s="225"/>
      <c r="D184" s="197"/>
      <c r="E184" s="197"/>
      <c r="F184" s="197"/>
      <c r="G184" s="225"/>
      <c r="H184" s="225"/>
      <c r="I184" s="225"/>
      <c r="J184" s="229"/>
      <c r="K184" s="197"/>
      <c r="L184" s="197"/>
      <c r="M184" s="197"/>
    </row>
    <row r="185" spans="1:14" x14ac:dyDescent="0.2">
      <c r="A185" s="197"/>
      <c r="B185" s="197"/>
      <c r="C185" s="197"/>
      <c r="D185" s="197"/>
      <c r="E185" s="197"/>
      <c r="F185" s="197"/>
      <c r="G185" s="197"/>
      <c r="H185" s="197"/>
      <c r="I185" s="197"/>
      <c r="J185" s="197"/>
      <c r="K185" s="197"/>
      <c r="L185" s="197"/>
      <c r="M185" s="197"/>
    </row>
    <row r="186" spans="1:14" x14ac:dyDescent="0.2">
      <c r="A186" s="197"/>
      <c r="B186" s="197"/>
      <c r="C186" s="197"/>
      <c r="D186" s="197"/>
      <c r="E186" s="197"/>
      <c r="F186" s="197"/>
      <c r="G186" s="197"/>
      <c r="H186" s="197"/>
      <c r="I186" s="197"/>
      <c r="J186" s="197"/>
      <c r="K186" s="197"/>
      <c r="L186" s="197"/>
      <c r="M186" s="197"/>
    </row>
    <row r="187" spans="1:14" x14ac:dyDescent="0.2">
      <c r="A187" s="197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</row>
    <row r="188" spans="1:14" x14ac:dyDescent="0.2">
      <c r="A188" s="197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</row>
    <row r="209" spans="1:13" ht="18" x14ac:dyDescent="0.25">
      <c r="A209" s="89"/>
      <c r="B209" s="31"/>
      <c r="C209" s="31"/>
      <c r="D209" s="31"/>
      <c r="E209" s="27"/>
      <c r="F209" s="82"/>
      <c r="G209" s="83"/>
      <c r="H209" s="83"/>
      <c r="I209" s="82"/>
      <c r="J209" s="83"/>
      <c r="K209" s="84"/>
      <c r="L209" s="84"/>
      <c r="M209" s="27"/>
    </row>
  </sheetData>
  <pageMargins left="0.75" right="0.75" top="1" bottom="1" header="0.5" footer="0.5"/>
  <pageSetup scale="9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8"/>
  <sheetViews>
    <sheetView topLeftCell="A106" workbookViewId="0">
      <selection activeCell="O24" sqref="O24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1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 t="s">
        <v>200</v>
      </c>
      <c r="H2" s="10"/>
      <c r="I2" s="10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39</v>
      </c>
      <c r="D7" s="36">
        <v>3</v>
      </c>
      <c r="E7" s="36">
        <v>125</v>
      </c>
      <c r="F7" s="72">
        <v>266</v>
      </c>
      <c r="G7" s="72">
        <v>137</v>
      </c>
      <c r="H7" s="72">
        <v>11</v>
      </c>
      <c r="I7" s="72">
        <v>1</v>
      </c>
      <c r="J7" s="72">
        <v>173</v>
      </c>
      <c r="K7" s="72">
        <v>21</v>
      </c>
      <c r="L7" s="72">
        <v>0</v>
      </c>
      <c r="M7" s="4">
        <f>SUM(C7:L7)</f>
        <v>776</v>
      </c>
    </row>
    <row r="8" spans="1:18" x14ac:dyDescent="0.2">
      <c r="A8" s="38"/>
      <c r="B8" s="57" t="s">
        <v>156</v>
      </c>
      <c r="C8" s="36">
        <v>5</v>
      </c>
      <c r="D8" s="36">
        <v>0</v>
      </c>
      <c r="E8" s="36">
        <v>4</v>
      </c>
      <c r="F8" s="72">
        <v>9</v>
      </c>
      <c r="G8" s="72">
        <v>2</v>
      </c>
      <c r="H8" s="72">
        <v>0</v>
      </c>
      <c r="I8" s="72">
        <v>0</v>
      </c>
      <c r="J8" s="72">
        <v>26</v>
      </c>
      <c r="K8" s="72">
        <v>2</v>
      </c>
      <c r="L8" s="72">
        <v>4</v>
      </c>
      <c r="M8" s="4">
        <f>SUM(C8:L8)</f>
        <v>52</v>
      </c>
    </row>
    <row r="9" spans="1:18" ht="13.5" thickBot="1" x14ac:dyDescent="0.25">
      <c r="A9" s="38"/>
      <c r="B9" s="57" t="s">
        <v>157</v>
      </c>
      <c r="C9" s="3">
        <v>3</v>
      </c>
      <c r="D9" s="3">
        <v>0</v>
      </c>
      <c r="E9" s="3">
        <v>18</v>
      </c>
      <c r="F9" s="3">
        <v>40</v>
      </c>
      <c r="G9" s="3">
        <v>6</v>
      </c>
      <c r="H9" s="3">
        <v>0</v>
      </c>
      <c r="I9" s="3">
        <v>0</v>
      </c>
      <c r="J9" s="3">
        <v>60</v>
      </c>
      <c r="K9" s="3">
        <v>0</v>
      </c>
      <c r="L9" s="3">
        <v>0</v>
      </c>
      <c r="M9" s="3">
        <f>SUM(C9:L9)</f>
        <v>127</v>
      </c>
    </row>
    <row r="10" spans="1:18" ht="13.5" thickTop="1" x14ac:dyDescent="0.2">
      <c r="A10" s="48"/>
      <c r="B10" s="65" t="s">
        <v>14</v>
      </c>
      <c r="C10" s="45">
        <f>SUM(C7:C9)</f>
        <v>47</v>
      </c>
      <c r="D10" s="45">
        <f t="shared" ref="D10:M10" si="0">SUM(D7:D9)</f>
        <v>3</v>
      </c>
      <c r="E10" s="45">
        <f t="shared" si="0"/>
        <v>147</v>
      </c>
      <c r="F10" s="45">
        <f t="shared" si="0"/>
        <v>315</v>
      </c>
      <c r="G10" s="45">
        <f t="shared" si="0"/>
        <v>145</v>
      </c>
      <c r="H10" s="45">
        <f t="shared" si="0"/>
        <v>11</v>
      </c>
      <c r="I10" s="45">
        <f t="shared" si="0"/>
        <v>1</v>
      </c>
      <c r="J10" s="45">
        <f t="shared" si="0"/>
        <v>259</v>
      </c>
      <c r="K10" s="45">
        <f t="shared" si="0"/>
        <v>23</v>
      </c>
      <c r="L10" s="45">
        <f t="shared" si="0"/>
        <v>4</v>
      </c>
      <c r="M10" s="45">
        <f t="shared" si="0"/>
        <v>955</v>
      </c>
    </row>
    <row r="11" spans="1:18" x14ac:dyDescent="0.2">
      <c r="B11" s="1"/>
      <c r="D11" s="2"/>
    </row>
    <row r="12" spans="1:18" x14ac:dyDescent="0.2">
      <c r="A12" s="186" t="s">
        <v>52</v>
      </c>
      <c r="B12" s="187"/>
      <c r="C12" s="40">
        <v>3246</v>
      </c>
      <c r="D12" s="66">
        <v>80</v>
      </c>
      <c r="E12" s="40">
        <v>23010</v>
      </c>
      <c r="F12" s="66">
        <v>11893</v>
      </c>
      <c r="G12" s="66">
        <v>9417</v>
      </c>
      <c r="H12" s="66">
        <v>106</v>
      </c>
      <c r="I12" s="66">
        <v>62</v>
      </c>
      <c r="J12" s="66">
        <v>11095</v>
      </c>
      <c r="K12" s="66">
        <v>1910</v>
      </c>
      <c r="L12" s="66"/>
      <c r="M12" s="158">
        <f>SUM(C12:K12)</f>
        <v>60819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59</v>
      </c>
      <c r="D19" s="36">
        <v>1</v>
      </c>
      <c r="E19" s="36">
        <v>131</v>
      </c>
      <c r="F19" s="4">
        <v>172</v>
      </c>
      <c r="G19" s="4">
        <v>107</v>
      </c>
      <c r="H19" s="4">
        <v>1</v>
      </c>
      <c r="I19" s="4">
        <v>5</v>
      </c>
      <c r="J19" s="4">
        <v>74</v>
      </c>
      <c r="K19" s="4">
        <v>47</v>
      </c>
      <c r="L19" s="43">
        <f>SUM(C19:K19)</f>
        <v>597</v>
      </c>
    </row>
    <row r="20" spans="1:13" x14ac:dyDescent="0.2">
      <c r="A20" s="38"/>
      <c r="B20" s="36" t="s">
        <v>13</v>
      </c>
      <c r="C20" s="36">
        <v>1</v>
      </c>
      <c r="D20" s="36"/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/>
      <c r="E21" s="4">
        <v>17</v>
      </c>
      <c r="F21" s="4">
        <v>16</v>
      </c>
      <c r="G21" s="4">
        <v>19</v>
      </c>
      <c r="H21" s="4">
        <v>1</v>
      </c>
      <c r="I21" s="4">
        <v>0</v>
      </c>
      <c r="J21" s="4">
        <v>26</v>
      </c>
      <c r="K21" s="4">
        <v>0</v>
      </c>
      <c r="L21" s="61">
        <f>SUM(C21:K21)</f>
        <v>80</v>
      </c>
    </row>
    <row r="22" spans="1:13" x14ac:dyDescent="0.2">
      <c r="A22" s="38"/>
      <c r="B22" s="36" t="s">
        <v>10</v>
      </c>
      <c r="C22" s="4">
        <v>4</v>
      </c>
      <c r="D22" s="4">
        <v>3</v>
      </c>
      <c r="E22" s="4">
        <v>10</v>
      </c>
      <c r="F22" s="4">
        <v>54</v>
      </c>
      <c r="G22" s="4">
        <v>18</v>
      </c>
      <c r="H22" s="4">
        <v>1</v>
      </c>
      <c r="I22" s="4">
        <v>2</v>
      </c>
      <c r="J22" s="4">
        <v>29</v>
      </c>
      <c r="K22" s="4">
        <v>4</v>
      </c>
      <c r="L22" s="61">
        <f>SUM(C22:K22)</f>
        <v>125</v>
      </c>
    </row>
    <row r="23" spans="1:13" ht="13.5" thickBot="1" x14ac:dyDescent="0.25">
      <c r="A23" s="38"/>
      <c r="B23" s="36" t="s">
        <v>9</v>
      </c>
      <c r="C23" s="3">
        <v>106</v>
      </c>
      <c r="D23" s="3">
        <v>58</v>
      </c>
      <c r="E23" s="3">
        <v>306</v>
      </c>
      <c r="F23" s="3">
        <v>331</v>
      </c>
      <c r="G23" s="3">
        <v>172</v>
      </c>
      <c r="H23" s="3">
        <v>11</v>
      </c>
      <c r="I23" s="3">
        <v>13</v>
      </c>
      <c r="J23" s="3">
        <v>528</v>
      </c>
      <c r="K23" s="3">
        <v>158</v>
      </c>
      <c r="L23" s="59">
        <f>SUM(C23:K23)</f>
        <v>1683</v>
      </c>
    </row>
    <row r="24" spans="1:13" ht="13.5" thickTop="1" x14ac:dyDescent="0.2">
      <c r="A24" s="38"/>
      <c r="B24" s="60" t="s">
        <v>14</v>
      </c>
      <c r="C24" s="36">
        <f>SUM(C19:C23)</f>
        <v>171</v>
      </c>
      <c r="D24" s="36">
        <f t="shared" ref="D24:L24" si="1">SUM(D19:D23)</f>
        <v>62</v>
      </c>
      <c r="E24" s="36">
        <f t="shared" si="1"/>
        <v>465</v>
      </c>
      <c r="F24" s="36">
        <f t="shared" si="1"/>
        <v>573</v>
      </c>
      <c r="G24" s="36">
        <f t="shared" si="1"/>
        <v>317</v>
      </c>
      <c r="H24" s="36">
        <f t="shared" si="1"/>
        <v>14</v>
      </c>
      <c r="I24" s="36">
        <f t="shared" si="1"/>
        <v>20</v>
      </c>
      <c r="J24" s="36">
        <f t="shared" si="1"/>
        <v>657</v>
      </c>
      <c r="K24" s="36">
        <f t="shared" si="1"/>
        <v>213</v>
      </c>
      <c r="L24" s="36">
        <f t="shared" si="1"/>
        <v>2492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s="1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2.25</v>
      </c>
      <c r="D27" s="87">
        <v>0</v>
      </c>
      <c r="E27" s="87">
        <v>1</v>
      </c>
      <c r="F27" s="87">
        <v>41.75</v>
      </c>
      <c r="G27" s="87">
        <v>10</v>
      </c>
      <c r="H27" s="87">
        <v>0</v>
      </c>
      <c r="I27" s="87">
        <v>0</v>
      </c>
      <c r="J27" s="87">
        <v>101.5</v>
      </c>
      <c r="K27" s="87">
        <v>5.5</v>
      </c>
      <c r="L27" s="87">
        <v>24.59</v>
      </c>
      <c r="M27" s="87">
        <f>SUM(C27:L27)</f>
        <v>186.59</v>
      </c>
    </row>
    <row r="28" spans="1:13" ht="14.25" customHeight="1" x14ac:dyDescent="0.2"/>
    <row r="29" spans="1:13" x14ac:dyDescent="0.2">
      <c r="A29" s="186" t="s">
        <v>66</v>
      </c>
      <c r="B29" s="207"/>
      <c r="C29" s="192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90</v>
      </c>
      <c r="D31" s="36">
        <v>36</v>
      </c>
      <c r="E31" s="36">
        <v>50</v>
      </c>
      <c r="F31" s="4">
        <v>145</v>
      </c>
      <c r="G31" s="4">
        <v>186</v>
      </c>
      <c r="H31" s="4">
        <v>213</v>
      </c>
      <c r="I31" s="4">
        <v>0</v>
      </c>
      <c r="J31" s="4">
        <v>147</v>
      </c>
      <c r="K31" s="4">
        <v>68</v>
      </c>
      <c r="L31" s="4">
        <f t="shared" ref="L31:L36" si="2">SUM(C31:K31)</f>
        <v>935</v>
      </c>
    </row>
    <row r="32" spans="1:13" x14ac:dyDescent="0.2">
      <c r="B32" s="60" t="s">
        <v>18</v>
      </c>
      <c r="C32" s="36">
        <v>0</v>
      </c>
      <c r="D32" s="36">
        <v>0</v>
      </c>
      <c r="E32" s="36">
        <v>7</v>
      </c>
      <c r="F32" s="4">
        <v>57</v>
      </c>
      <c r="G32" s="4">
        <v>71</v>
      </c>
      <c r="H32" s="4">
        <v>0</v>
      </c>
      <c r="I32" s="4">
        <v>0</v>
      </c>
      <c r="J32" s="4">
        <v>24</v>
      </c>
      <c r="K32" s="4">
        <v>0</v>
      </c>
      <c r="L32" s="4">
        <f t="shared" si="2"/>
        <v>159</v>
      </c>
    </row>
    <row r="33" spans="1:12" x14ac:dyDescent="0.2">
      <c r="B33" s="60" t="s">
        <v>20</v>
      </c>
      <c r="C33" s="36">
        <v>174</v>
      </c>
      <c r="D33" s="36">
        <v>155</v>
      </c>
      <c r="E33" s="36">
        <v>445</v>
      </c>
      <c r="F33" s="36">
        <v>285</v>
      </c>
      <c r="G33" s="36">
        <v>406</v>
      </c>
      <c r="H33" s="4">
        <v>4</v>
      </c>
      <c r="I33" s="4">
        <v>0</v>
      </c>
      <c r="J33" s="4">
        <v>358</v>
      </c>
      <c r="K33" s="4">
        <v>0</v>
      </c>
      <c r="L33" s="4">
        <f t="shared" si="2"/>
        <v>1827</v>
      </c>
    </row>
    <row r="34" spans="1:12" x14ac:dyDescent="0.2">
      <c r="B34" s="60" t="s">
        <v>113</v>
      </c>
      <c r="C34" s="4">
        <f>14+37</f>
        <v>51</v>
      </c>
      <c r="D34" s="4">
        <f>7+20</f>
        <v>27</v>
      </c>
      <c r="E34" s="4">
        <f>14+20</f>
        <v>34</v>
      </c>
      <c r="F34" s="4">
        <f>25+18</f>
        <v>43</v>
      </c>
      <c r="G34" s="4">
        <f>14+13</f>
        <v>27</v>
      </c>
      <c r="H34" s="4">
        <v>31</v>
      </c>
      <c r="I34" s="4">
        <f>12+5</f>
        <v>17</v>
      </c>
      <c r="J34" s="4">
        <f>20+63</f>
        <v>83</v>
      </c>
      <c r="K34" s="4">
        <v>7</v>
      </c>
      <c r="L34" s="4">
        <f t="shared" si="2"/>
        <v>320</v>
      </c>
    </row>
    <row r="35" spans="1:12" ht="13.5" thickBot="1" x14ac:dyDescent="0.25">
      <c r="B35" s="16" t="s">
        <v>19</v>
      </c>
      <c r="C35" s="3">
        <f t="shared" ref="C35:F35" si="3">C76</f>
        <v>15</v>
      </c>
      <c r="D35" s="3">
        <f t="shared" si="3"/>
        <v>28</v>
      </c>
      <c r="E35" s="3">
        <f t="shared" si="3"/>
        <v>58</v>
      </c>
      <c r="F35" s="3">
        <f t="shared" si="3"/>
        <v>129</v>
      </c>
      <c r="G35" s="3">
        <f>G76</f>
        <v>83</v>
      </c>
      <c r="H35" s="3">
        <f t="shared" ref="H35:K35" si="4">H76</f>
        <v>20</v>
      </c>
      <c r="I35" s="3">
        <f t="shared" si="4"/>
        <v>17</v>
      </c>
      <c r="J35" s="3">
        <f t="shared" si="4"/>
        <v>190</v>
      </c>
      <c r="K35" s="3">
        <f t="shared" si="4"/>
        <v>89</v>
      </c>
      <c r="L35" s="122">
        <f t="shared" si="2"/>
        <v>629</v>
      </c>
    </row>
    <row r="36" spans="1:12" ht="13.5" thickTop="1" x14ac:dyDescent="0.2">
      <c r="B36" s="65" t="s">
        <v>14</v>
      </c>
      <c r="C36" s="45">
        <f t="shared" ref="C36:K36" si="5">SUM(C31:C35)</f>
        <v>330</v>
      </c>
      <c r="D36" s="45">
        <f t="shared" si="5"/>
        <v>246</v>
      </c>
      <c r="E36" s="45">
        <f t="shared" si="5"/>
        <v>594</v>
      </c>
      <c r="F36" s="45">
        <f t="shared" si="5"/>
        <v>659</v>
      </c>
      <c r="G36" s="45">
        <f t="shared" si="5"/>
        <v>773</v>
      </c>
      <c r="H36" s="45">
        <f t="shared" si="5"/>
        <v>268</v>
      </c>
      <c r="I36" s="45">
        <f t="shared" si="5"/>
        <v>34</v>
      </c>
      <c r="J36" s="45">
        <f t="shared" si="5"/>
        <v>802</v>
      </c>
      <c r="K36" s="45">
        <f t="shared" si="5"/>
        <v>164</v>
      </c>
      <c r="L36" s="62">
        <f t="shared" si="2"/>
        <v>3870</v>
      </c>
    </row>
    <row r="38" spans="1:12" x14ac:dyDescent="0.2">
      <c r="A38" s="186" t="s">
        <v>57</v>
      </c>
      <c r="B38" s="187"/>
      <c r="C38" s="40">
        <v>4</v>
      </c>
      <c r="D38" s="40">
        <v>0</v>
      </c>
      <c r="E38" s="40">
        <v>19</v>
      </c>
      <c r="F38" s="66">
        <v>12</v>
      </c>
      <c r="G38" s="66">
        <v>18</v>
      </c>
      <c r="H38" s="66">
        <v>0</v>
      </c>
      <c r="I38" s="66">
        <v>0</v>
      </c>
      <c r="J38" s="66">
        <v>3</v>
      </c>
      <c r="K38" s="66">
        <v>0</v>
      </c>
      <c r="L38" s="66">
        <f>SUM(C38:K38)</f>
        <v>56</v>
      </c>
    </row>
    <row r="39" spans="1:12" ht="13.5" thickBot="1" x14ac:dyDescent="0.25">
      <c r="A39" s="71" t="s">
        <v>158</v>
      </c>
      <c r="B39" s="60"/>
      <c r="C39" s="3">
        <v>0</v>
      </c>
      <c r="D39" s="3">
        <v>0</v>
      </c>
      <c r="E39" s="3">
        <v>0</v>
      </c>
      <c r="F39" s="3">
        <v>21</v>
      </c>
      <c r="G39" s="3">
        <v>36</v>
      </c>
      <c r="H39" s="3">
        <v>12</v>
      </c>
      <c r="I39" s="3">
        <v>0</v>
      </c>
      <c r="J39" s="3">
        <v>470</v>
      </c>
      <c r="K39" s="3">
        <v>0</v>
      </c>
      <c r="L39" s="59">
        <f>SUM(C39:K39)</f>
        <v>539</v>
      </c>
    </row>
    <row r="40" spans="1:12" ht="13.5" thickTop="1" x14ac:dyDescent="0.2">
      <c r="A40" s="71"/>
      <c r="B40" s="60" t="s">
        <v>7</v>
      </c>
      <c r="C40" s="36">
        <f>SUM(C38:C39)</f>
        <v>4</v>
      </c>
      <c r="D40" s="36">
        <f t="shared" ref="D40:K40" si="6">SUM(D38:D39)</f>
        <v>0</v>
      </c>
      <c r="E40" s="36">
        <f t="shared" si="6"/>
        <v>19</v>
      </c>
      <c r="F40" s="36">
        <f t="shared" si="6"/>
        <v>33</v>
      </c>
      <c r="G40" s="36">
        <f t="shared" si="6"/>
        <v>54</v>
      </c>
      <c r="H40" s="36">
        <f t="shared" si="6"/>
        <v>12</v>
      </c>
      <c r="I40" s="36">
        <f t="shared" si="6"/>
        <v>0</v>
      </c>
      <c r="J40" s="36">
        <f t="shared" si="6"/>
        <v>473</v>
      </c>
      <c r="K40" s="36">
        <f t="shared" si="6"/>
        <v>0</v>
      </c>
      <c r="L40" s="128">
        <f>SUM(L38:L39)</f>
        <v>595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1" t="s">
        <v>56</v>
      </c>
      <c r="B42" s="188"/>
      <c r="C42" s="45">
        <v>0</v>
      </c>
      <c r="D42" s="45">
        <v>0</v>
      </c>
      <c r="E42" s="45">
        <v>0</v>
      </c>
      <c r="F42" s="68">
        <v>7</v>
      </c>
      <c r="G42" s="68">
        <v>8</v>
      </c>
      <c r="H42" s="68"/>
      <c r="I42" s="68">
        <v>0</v>
      </c>
      <c r="J42" s="68">
        <v>31</v>
      </c>
      <c r="K42" s="68">
        <v>0</v>
      </c>
      <c r="L42" s="68">
        <f>SUM(C42:K42)</f>
        <v>46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f>SUM(C44:K44)</f>
        <v>0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f>SUM(C45:K45)</f>
        <v>0</v>
      </c>
    </row>
    <row r="46" spans="1:12" x14ac:dyDescent="0.2">
      <c r="A46" s="38"/>
    </row>
    <row r="47" spans="1:12" x14ac:dyDescent="0.2">
      <c r="A47" s="186" t="s">
        <v>240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/>
      <c r="D49" s="36"/>
      <c r="E49" s="36">
        <v>2</v>
      </c>
      <c r="F49" s="4">
        <v>2</v>
      </c>
      <c r="G49" s="4"/>
      <c r="H49" s="4"/>
      <c r="I49" s="4"/>
      <c r="J49" s="4">
        <v>2</v>
      </c>
      <c r="K49" s="4">
        <v>1</v>
      </c>
      <c r="L49" s="4">
        <f t="shared" ref="L49:L76" si="7">SUM(C49:K49)</f>
        <v>7</v>
      </c>
    </row>
    <row r="50" spans="2:12" x14ac:dyDescent="0.2">
      <c r="B50" s="42" t="s">
        <v>119</v>
      </c>
      <c r="C50" s="36">
        <v>1</v>
      </c>
      <c r="D50" s="36">
        <v>1</v>
      </c>
      <c r="E50" s="4">
        <v>2</v>
      </c>
      <c r="F50" s="36">
        <v>3</v>
      </c>
      <c r="G50" s="36">
        <v>7</v>
      </c>
      <c r="H50" s="4">
        <v>1</v>
      </c>
      <c r="I50" s="4">
        <v>3</v>
      </c>
      <c r="J50" s="4">
        <v>6</v>
      </c>
      <c r="K50" s="4">
        <v>1</v>
      </c>
      <c r="L50" s="4">
        <f t="shared" si="7"/>
        <v>25</v>
      </c>
    </row>
    <row r="51" spans="2:12" x14ac:dyDescent="0.2">
      <c r="B51" s="42" t="s">
        <v>108</v>
      </c>
      <c r="C51" s="36"/>
      <c r="D51" s="36"/>
      <c r="E51" s="36">
        <v>1</v>
      </c>
      <c r="F51" s="36">
        <v>10</v>
      </c>
      <c r="G51" s="36">
        <v>3</v>
      </c>
      <c r="H51" s="4">
        <v>3</v>
      </c>
      <c r="I51" s="36"/>
      <c r="J51" s="4">
        <v>3</v>
      </c>
      <c r="K51" s="4"/>
      <c r="L51" s="4">
        <f t="shared" si="7"/>
        <v>20</v>
      </c>
    </row>
    <row r="52" spans="2:12" x14ac:dyDescent="0.2">
      <c r="B52" s="42" t="s">
        <v>144</v>
      </c>
      <c r="C52" s="36"/>
      <c r="D52" s="36"/>
      <c r="E52" s="36"/>
      <c r="F52" s="4">
        <v>2</v>
      </c>
      <c r="G52" s="36"/>
      <c r="H52" s="36"/>
      <c r="I52" s="36"/>
      <c r="J52" s="4">
        <v>6</v>
      </c>
      <c r="K52" s="4">
        <v>4</v>
      </c>
      <c r="L52" s="4">
        <f t="shared" si="7"/>
        <v>12</v>
      </c>
    </row>
    <row r="53" spans="2:12" x14ac:dyDescent="0.2">
      <c r="B53" s="42" t="s">
        <v>159</v>
      </c>
      <c r="C53" s="4">
        <v>2</v>
      </c>
      <c r="D53" s="36">
        <v>7</v>
      </c>
      <c r="E53" s="4">
        <v>5</v>
      </c>
      <c r="F53" s="4">
        <v>7</v>
      </c>
      <c r="G53" s="36">
        <v>2</v>
      </c>
      <c r="H53" s="36"/>
      <c r="I53" s="36"/>
      <c r="J53" s="4">
        <v>11</v>
      </c>
      <c r="K53" s="4"/>
      <c r="L53" s="4">
        <f t="shared" si="7"/>
        <v>34</v>
      </c>
    </row>
    <row r="54" spans="2:12" x14ac:dyDescent="0.2">
      <c r="B54" s="42" t="s">
        <v>109</v>
      </c>
      <c r="C54" s="4">
        <v>3</v>
      </c>
      <c r="D54" s="36">
        <v>1</v>
      </c>
      <c r="E54" s="4">
        <v>11</v>
      </c>
      <c r="F54" s="4">
        <v>10</v>
      </c>
      <c r="G54" s="4">
        <v>6</v>
      </c>
      <c r="H54" s="36"/>
      <c r="I54" s="36"/>
      <c r="J54" s="4">
        <v>0</v>
      </c>
      <c r="K54" s="36"/>
      <c r="L54" s="4">
        <f t="shared" si="7"/>
        <v>31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>
        <v>0</v>
      </c>
      <c r="K55" s="36"/>
      <c r="L55" s="4">
        <f t="shared" si="7"/>
        <v>0</v>
      </c>
    </row>
    <row r="56" spans="2:12" x14ac:dyDescent="0.2">
      <c r="B56" s="42" t="s">
        <v>93</v>
      </c>
      <c r="C56" s="36">
        <v>2</v>
      </c>
      <c r="D56" s="36"/>
      <c r="E56" s="4"/>
      <c r="F56" s="4">
        <v>3</v>
      </c>
      <c r="G56" s="4"/>
      <c r="H56" s="4"/>
      <c r="I56" s="4"/>
      <c r="J56" s="4">
        <v>4</v>
      </c>
      <c r="K56" s="4"/>
      <c r="L56" s="4">
        <f t="shared" si="7"/>
        <v>9</v>
      </c>
    </row>
    <row r="57" spans="2:12" x14ac:dyDescent="0.2">
      <c r="B57" s="42" t="s">
        <v>130</v>
      </c>
      <c r="C57" s="36"/>
      <c r="D57" s="36"/>
      <c r="E57" s="36"/>
      <c r="F57" s="4"/>
      <c r="G57" s="4">
        <v>3</v>
      </c>
      <c r="H57" s="4"/>
      <c r="I57" s="36"/>
      <c r="J57" s="4">
        <v>3</v>
      </c>
      <c r="K57" s="4"/>
      <c r="L57" s="4">
        <f t="shared" si="7"/>
        <v>6</v>
      </c>
    </row>
    <row r="58" spans="2:12" x14ac:dyDescent="0.2">
      <c r="B58" s="42" t="s">
        <v>107</v>
      </c>
      <c r="C58" s="36"/>
      <c r="D58" s="36"/>
      <c r="E58" s="4"/>
      <c r="F58" s="4"/>
      <c r="G58" s="4"/>
      <c r="H58" s="4"/>
      <c r="I58" s="36"/>
      <c r="J58" s="4">
        <v>0</v>
      </c>
      <c r="K58" s="4">
        <v>1</v>
      </c>
      <c r="L58" s="4">
        <f t="shared" si="7"/>
        <v>1</v>
      </c>
    </row>
    <row r="59" spans="2:12" x14ac:dyDescent="0.2">
      <c r="B59" s="42" t="s">
        <v>110</v>
      </c>
      <c r="C59" s="36"/>
      <c r="D59" s="36">
        <v>2</v>
      </c>
      <c r="E59" s="4">
        <v>5</v>
      </c>
      <c r="F59" s="4">
        <v>19</v>
      </c>
      <c r="G59" s="4">
        <v>4</v>
      </c>
      <c r="H59" s="4">
        <v>1</v>
      </c>
      <c r="I59" s="4">
        <v>11</v>
      </c>
      <c r="J59" s="4">
        <v>37</v>
      </c>
      <c r="K59" s="4">
        <v>4</v>
      </c>
      <c r="L59" s="4">
        <f t="shared" si="7"/>
        <v>83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>
        <v>2</v>
      </c>
      <c r="J60" s="4"/>
      <c r="K60" s="4"/>
      <c r="L60" s="4">
        <f t="shared" si="7"/>
        <v>2</v>
      </c>
    </row>
    <row r="61" spans="2:12" x14ac:dyDescent="0.2">
      <c r="B61" s="38" t="s">
        <v>42</v>
      </c>
      <c r="C61" s="36"/>
      <c r="D61" s="36">
        <v>2</v>
      </c>
      <c r="E61" s="4">
        <v>6</v>
      </c>
      <c r="F61" s="4"/>
      <c r="G61" s="4">
        <v>1</v>
      </c>
      <c r="H61" s="4">
        <v>3</v>
      </c>
      <c r="I61" s="4">
        <v>1</v>
      </c>
      <c r="J61" s="4"/>
      <c r="K61" s="4">
        <v>8</v>
      </c>
      <c r="L61" s="4">
        <f t="shared" si="7"/>
        <v>21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4">
        <f t="shared" si="7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7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7"/>
        <v>0</v>
      </c>
    </row>
    <row r="65" spans="1:13" x14ac:dyDescent="0.2">
      <c r="B65" s="42" t="s">
        <v>163</v>
      </c>
      <c r="C65" s="36"/>
      <c r="D65" s="36"/>
      <c r="E65" s="36"/>
      <c r="F65" s="36"/>
      <c r="G65" s="4">
        <v>6</v>
      </c>
      <c r="H65" s="4"/>
      <c r="I65" s="4"/>
      <c r="J65" s="4"/>
      <c r="K65" s="4">
        <v>1</v>
      </c>
      <c r="L65" s="4">
        <f t="shared" si="7"/>
        <v>7</v>
      </c>
    </row>
    <row r="66" spans="1:13" x14ac:dyDescent="0.2">
      <c r="B66" s="38" t="s">
        <v>83</v>
      </c>
      <c r="C66" s="4">
        <v>3</v>
      </c>
      <c r="D66" s="4">
        <v>1</v>
      </c>
      <c r="E66" s="4">
        <v>10</v>
      </c>
      <c r="F66" s="4">
        <v>22</v>
      </c>
      <c r="G66" s="4"/>
      <c r="H66" s="4"/>
      <c r="I66" s="4"/>
      <c r="J66" s="4">
        <v>20</v>
      </c>
      <c r="K66" s="4">
        <v>15</v>
      </c>
      <c r="L66" s="4">
        <f t="shared" si="7"/>
        <v>71</v>
      </c>
    </row>
    <row r="67" spans="1:13" x14ac:dyDescent="0.2">
      <c r="B67" s="42" t="s">
        <v>161</v>
      </c>
      <c r="C67" s="4"/>
      <c r="D67" s="4"/>
      <c r="E67" s="4"/>
      <c r="F67" s="4"/>
      <c r="G67" s="4"/>
      <c r="H67" s="4"/>
      <c r="I67" s="4"/>
      <c r="J67" s="4"/>
      <c r="K67" s="4"/>
      <c r="L67" s="4">
        <f t="shared" si="7"/>
        <v>0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7"/>
        <v>0</v>
      </c>
    </row>
    <row r="69" spans="1:13" x14ac:dyDescent="0.2">
      <c r="B69" s="42" t="s">
        <v>94</v>
      </c>
      <c r="C69" s="4"/>
      <c r="D69" s="36"/>
      <c r="E69" s="4">
        <v>2</v>
      </c>
      <c r="F69" s="4">
        <v>10</v>
      </c>
      <c r="G69" s="4">
        <v>9</v>
      </c>
      <c r="H69" s="4"/>
      <c r="I69" s="4"/>
      <c r="J69" s="4">
        <v>11</v>
      </c>
      <c r="K69" s="4">
        <v>10</v>
      </c>
      <c r="L69" s="4">
        <f t="shared" si="7"/>
        <v>42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7"/>
        <v>0</v>
      </c>
    </row>
    <row r="71" spans="1:13" x14ac:dyDescent="0.2">
      <c r="B71" s="42" t="s">
        <v>44</v>
      </c>
      <c r="C71" s="4">
        <v>4</v>
      </c>
      <c r="D71" s="36">
        <v>12</v>
      </c>
      <c r="E71" s="4">
        <v>14</v>
      </c>
      <c r="F71" s="4">
        <v>39</v>
      </c>
      <c r="G71" s="4">
        <v>41</v>
      </c>
      <c r="H71" s="4">
        <v>12</v>
      </c>
      <c r="I71" s="4"/>
      <c r="J71" s="4">
        <v>79</v>
      </c>
      <c r="K71" s="4">
        <v>44</v>
      </c>
      <c r="L71" s="4">
        <f t="shared" si="7"/>
        <v>245</v>
      </c>
    </row>
    <row r="72" spans="1:13" x14ac:dyDescent="0.2">
      <c r="B72" s="42" t="s">
        <v>43</v>
      </c>
      <c r="C72" s="36"/>
      <c r="D72" s="36"/>
      <c r="E72" s="36"/>
      <c r="F72" s="4"/>
      <c r="G72" s="4"/>
      <c r="H72" s="4"/>
      <c r="I72" s="4"/>
      <c r="J72" s="36"/>
      <c r="K72" s="4"/>
      <c r="L72" s="4">
        <f t="shared" si="7"/>
        <v>0</v>
      </c>
    </row>
    <row r="73" spans="1:13" x14ac:dyDescent="0.2">
      <c r="B73" s="42" t="s">
        <v>120</v>
      </c>
      <c r="C73" s="36"/>
      <c r="D73" s="36"/>
      <c r="E73" s="36"/>
      <c r="F73" s="4">
        <v>2</v>
      </c>
      <c r="G73" s="4"/>
      <c r="H73" s="4"/>
      <c r="I73" s="4"/>
      <c r="J73" s="36"/>
      <c r="K73" s="4"/>
      <c r="L73" s="4">
        <f t="shared" si="7"/>
        <v>2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36"/>
      <c r="K74" s="4"/>
      <c r="L74" s="4">
        <f t="shared" si="7"/>
        <v>0</v>
      </c>
    </row>
    <row r="75" spans="1:13" ht="13.5" thickBot="1" x14ac:dyDescent="0.25">
      <c r="B75" s="80" t="s">
        <v>67</v>
      </c>
      <c r="C75" s="3"/>
      <c r="D75" s="3">
        <v>2</v>
      </c>
      <c r="E75" s="3"/>
      <c r="F75" s="3"/>
      <c r="G75" s="3">
        <v>1</v>
      </c>
      <c r="H75" s="3"/>
      <c r="I75" s="3"/>
      <c r="J75" s="3">
        <v>8</v>
      </c>
      <c r="K75" s="3"/>
      <c r="L75" s="122">
        <f t="shared" si="7"/>
        <v>11</v>
      </c>
    </row>
    <row r="76" spans="1:13" ht="13.5" thickTop="1" x14ac:dyDescent="0.2">
      <c r="B76" s="69" t="s">
        <v>7</v>
      </c>
      <c r="C76" s="45">
        <f t="shared" ref="C76:K76" si="8">SUM(C49:C75)</f>
        <v>15</v>
      </c>
      <c r="D76" s="45">
        <f t="shared" si="8"/>
        <v>28</v>
      </c>
      <c r="E76" s="45">
        <f t="shared" si="8"/>
        <v>58</v>
      </c>
      <c r="F76" s="45">
        <f t="shared" si="8"/>
        <v>129</v>
      </c>
      <c r="G76" s="45">
        <f t="shared" si="8"/>
        <v>83</v>
      </c>
      <c r="H76" s="45">
        <f t="shared" si="8"/>
        <v>20</v>
      </c>
      <c r="I76" s="45">
        <f t="shared" si="8"/>
        <v>17</v>
      </c>
      <c r="J76" s="45">
        <f t="shared" si="8"/>
        <v>190</v>
      </c>
      <c r="K76" s="45">
        <f t="shared" si="8"/>
        <v>89</v>
      </c>
      <c r="L76" s="123">
        <f t="shared" si="7"/>
        <v>629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186"/>
      <c r="M78" s="6"/>
    </row>
    <row r="79" spans="1:13" x14ac:dyDescent="0.2">
      <c r="A79" s="94" t="s">
        <v>123</v>
      </c>
      <c r="C79" s="43">
        <v>11</v>
      </c>
      <c r="D79" s="6"/>
      <c r="E79" s="38" t="s">
        <v>9</v>
      </c>
      <c r="F79" s="36"/>
      <c r="G79" s="43">
        <v>434</v>
      </c>
      <c r="I79" s="42" t="s">
        <v>133</v>
      </c>
      <c r="J79" s="36"/>
      <c r="K79" s="36"/>
      <c r="L79" s="43">
        <v>439</v>
      </c>
      <c r="M79" s="6"/>
    </row>
    <row r="80" spans="1:13" x14ac:dyDescent="0.2">
      <c r="A80" s="42" t="s">
        <v>29</v>
      </c>
      <c r="B80" s="36"/>
      <c r="C80" s="43">
        <v>11</v>
      </c>
      <c r="D80" s="6"/>
      <c r="E80" s="38" t="s">
        <v>10</v>
      </c>
      <c r="F80" s="36"/>
      <c r="G80" s="43">
        <v>119</v>
      </c>
      <c r="I80" s="42" t="s">
        <v>134</v>
      </c>
      <c r="J80" s="36"/>
      <c r="K80" s="36"/>
      <c r="L80" s="43">
        <v>66</v>
      </c>
      <c r="M80" s="6"/>
    </row>
    <row r="81" spans="1:13" x14ac:dyDescent="0.2">
      <c r="A81" s="42" t="s">
        <v>124</v>
      </c>
      <c r="B81" s="36"/>
      <c r="C81" s="43">
        <v>36</v>
      </c>
      <c r="D81" s="6"/>
      <c r="E81" s="38" t="s">
        <v>11</v>
      </c>
      <c r="F81" s="36"/>
      <c r="G81" s="43">
        <v>30</v>
      </c>
      <c r="I81" s="42" t="s">
        <v>46</v>
      </c>
      <c r="J81" s="36"/>
      <c r="K81" s="36"/>
      <c r="L81" s="43">
        <v>22</v>
      </c>
      <c r="M81" s="6"/>
    </row>
    <row r="82" spans="1:13" x14ac:dyDescent="0.2">
      <c r="A82" s="42" t="s">
        <v>125</v>
      </c>
      <c r="B82" s="57"/>
      <c r="C82" s="43">
        <v>262</v>
      </c>
      <c r="D82" s="6"/>
      <c r="E82" s="38" t="s">
        <v>38</v>
      </c>
      <c r="F82" s="36"/>
      <c r="G82" s="43">
        <v>111</v>
      </c>
      <c r="I82" s="42" t="s">
        <v>47</v>
      </c>
      <c r="J82" s="36"/>
      <c r="K82" s="36"/>
      <c r="L82" s="43">
        <v>3</v>
      </c>
      <c r="M82" s="6"/>
    </row>
    <row r="83" spans="1:13" x14ac:dyDescent="0.2">
      <c r="A83" s="42" t="s">
        <v>106</v>
      </c>
      <c r="B83" s="57"/>
      <c r="C83" s="43">
        <v>56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10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19</v>
      </c>
    </row>
    <row r="86" spans="1:13" x14ac:dyDescent="0.2">
      <c r="A86" s="42" t="s">
        <v>126</v>
      </c>
      <c r="B86" s="36"/>
      <c r="C86" s="43">
        <v>0</v>
      </c>
      <c r="E86" s="186" t="s">
        <v>31</v>
      </c>
      <c r="F86" s="193"/>
      <c r="G86" s="194"/>
      <c r="H86" s="186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34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35</v>
      </c>
    </row>
    <row r="89" spans="1:13" x14ac:dyDescent="0.2">
      <c r="A89" s="104" t="s">
        <v>18</v>
      </c>
      <c r="C89" s="61">
        <v>24</v>
      </c>
      <c r="E89" s="44" t="s">
        <v>48</v>
      </c>
      <c r="F89" s="65"/>
      <c r="G89" s="45"/>
      <c r="H89" s="46">
        <v>1</v>
      </c>
      <c r="I89" s="2"/>
      <c r="J89" s="1"/>
    </row>
    <row r="90" spans="1:13" x14ac:dyDescent="0.2">
      <c r="A90" s="106" t="s">
        <v>20</v>
      </c>
      <c r="B90" s="45"/>
      <c r="C90" s="46">
        <v>641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5228</v>
      </c>
      <c r="E95" s="142"/>
      <c r="F95" s="236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>
        <v>10</v>
      </c>
      <c r="E96" s="143"/>
      <c r="F96" s="38"/>
      <c r="H96" s="1"/>
      <c r="I96" s="71" t="s">
        <v>139</v>
      </c>
      <c r="J96" s="60"/>
      <c r="L96">
        <v>692</v>
      </c>
      <c r="M96" s="43"/>
    </row>
    <row r="97" spans="1:13" x14ac:dyDescent="0.2">
      <c r="A97" s="1"/>
      <c r="B97" s="17" t="s">
        <v>147</v>
      </c>
      <c r="C97" s="17"/>
      <c r="D97" s="39">
        <v>160</v>
      </c>
      <c r="E97" s="143">
        <v>345</v>
      </c>
      <c r="F97" s="38"/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22">
        <v>717</v>
      </c>
      <c r="E98" s="234"/>
      <c r="F98" s="237"/>
      <c r="I98" s="71" t="s">
        <v>154</v>
      </c>
      <c r="J98" s="60"/>
      <c r="K98" s="60"/>
      <c r="L98" s="57">
        <v>64</v>
      </c>
      <c r="M98" s="74"/>
    </row>
    <row r="99" spans="1:13" x14ac:dyDescent="0.2">
      <c r="B99" s="37" t="s">
        <v>151</v>
      </c>
      <c r="C99" s="22"/>
      <c r="D99" s="22">
        <v>357</v>
      </c>
      <c r="E99" s="144"/>
      <c r="F99" s="237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415</v>
      </c>
      <c r="E100" s="144"/>
      <c r="F100" s="237"/>
      <c r="H100" s="1"/>
      <c r="I100" s="69"/>
      <c r="J100" s="65"/>
      <c r="K100" s="98"/>
      <c r="L100" s="98"/>
      <c r="M100" s="99"/>
    </row>
    <row r="101" spans="1:13" x14ac:dyDescent="0.2">
      <c r="B101" s="37" t="s">
        <v>294</v>
      </c>
      <c r="C101" s="22"/>
      <c r="D101" s="22"/>
      <c r="E101" s="144"/>
      <c r="F101" s="237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145"/>
      <c r="F102" s="238"/>
      <c r="H102" s="1"/>
      <c r="I102" s="199" t="s">
        <v>112</v>
      </c>
      <c r="J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1138</v>
      </c>
      <c r="E103" s="145"/>
      <c r="F103" s="238"/>
      <c r="I103" s="102" t="s">
        <v>116</v>
      </c>
      <c r="J103" s="40"/>
      <c r="K103" s="103">
        <v>2210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324</v>
      </c>
      <c r="E104" s="145"/>
      <c r="F104" s="238"/>
      <c r="I104" s="104" t="s">
        <v>101</v>
      </c>
      <c r="J104" s="4"/>
      <c r="K104" s="105">
        <v>206</v>
      </c>
      <c r="L104" s="93"/>
      <c r="M104" s="93"/>
    </row>
    <row r="105" spans="1:13" x14ac:dyDescent="0.2">
      <c r="B105" s="21" t="s">
        <v>99</v>
      </c>
      <c r="C105" s="21"/>
      <c r="D105" s="20">
        <v>179</v>
      </c>
      <c r="E105" s="147"/>
      <c r="F105" s="239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43"/>
      <c r="F106" s="38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17">
        <v>56</v>
      </c>
      <c r="E107" s="115"/>
      <c r="F107" s="38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146"/>
      <c r="F108" s="240"/>
      <c r="I108" s="110" t="s">
        <v>23</v>
      </c>
      <c r="J108" s="101"/>
      <c r="K108" s="43">
        <v>5</v>
      </c>
      <c r="L108" s="254">
        <v>4</v>
      </c>
      <c r="M108" s="109">
        <f>SUM(K108:L108)</f>
        <v>9</v>
      </c>
    </row>
    <row r="109" spans="1:13" x14ac:dyDescent="0.2">
      <c r="A109" s="1" t="s">
        <v>77</v>
      </c>
      <c r="B109" s="20" t="s">
        <v>82</v>
      </c>
      <c r="C109" s="20"/>
      <c r="D109" s="17">
        <v>10</v>
      </c>
      <c r="E109" s="143">
        <v>110</v>
      </c>
      <c r="F109" s="38"/>
      <c r="I109" s="110" t="s">
        <v>24</v>
      </c>
      <c r="J109" s="101"/>
      <c r="K109" s="43">
        <v>19</v>
      </c>
      <c r="L109" s="254">
        <v>6</v>
      </c>
      <c r="M109" s="109">
        <f>SUM(K109:L109)</f>
        <v>25</v>
      </c>
    </row>
    <row r="110" spans="1:13" x14ac:dyDescent="0.2">
      <c r="A110" s="1"/>
      <c r="B110" s="115" t="s">
        <v>153</v>
      </c>
      <c r="D110" s="20">
        <v>0</v>
      </c>
      <c r="E110" s="147"/>
      <c r="F110" s="239"/>
      <c r="I110" s="110" t="s">
        <v>156</v>
      </c>
      <c r="J110" s="101"/>
      <c r="K110" s="43">
        <v>1</v>
      </c>
      <c r="L110" s="254"/>
      <c r="M110" s="109">
        <f>SUM(K110:L110)</f>
        <v>1</v>
      </c>
    </row>
    <row r="111" spans="1:13" x14ac:dyDescent="0.2">
      <c r="A111" s="1"/>
      <c r="B111" s="39" t="s">
        <v>182</v>
      </c>
      <c r="C111" s="20"/>
      <c r="D111" s="20">
        <v>7576</v>
      </c>
      <c r="E111" s="235"/>
      <c r="F111" s="239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20">
        <v>554</v>
      </c>
      <c r="E112" s="235"/>
      <c r="F112" s="239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20">
        <v>688</v>
      </c>
      <c r="E113" s="235"/>
      <c r="F113" s="239"/>
      <c r="I113" s="181" t="s">
        <v>111</v>
      </c>
      <c r="J113" s="188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20">
        <v>233</v>
      </c>
      <c r="E114" s="235"/>
      <c r="F114" s="239"/>
      <c r="I114" s="181" t="s">
        <v>143</v>
      </c>
      <c r="J114" s="188"/>
      <c r="K114" s="121">
        <v>3</v>
      </c>
      <c r="L114" s="94" t="s">
        <v>145</v>
      </c>
      <c r="M114" s="101"/>
    </row>
    <row r="115" spans="1:13" x14ac:dyDescent="0.2">
      <c r="C115" s="1" t="s">
        <v>7</v>
      </c>
      <c r="D115">
        <f>SUM(D95:D114)</f>
        <v>17645</v>
      </c>
      <c r="E115">
        <f>SUM(E95:E114)</f>
        <v>455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5"/>
      <c r="D117" s="127"/>
      <c r="E117" s="126"/>
      <c r="F117" s="127"/>
    </row>
    <row r="118" spans="1:13" x14ac:dyDescent="0.2">
      <c r="A118" s="181" t="s">
        <v>58</v>
      </c>
      <c r="B118" s="188"/>
      <c r="C118" s="205"/>
      <c r="D118" s="48"/>
    </row>
    <row r="119" spans="1:13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48713</v>
      </c>
      <c r="C122" s="36">
        <f>96+42+32+23</f>
        <v>193</v>
      </c>
      <c r="D122" s="36">
        <v>1479</v>
      </c>
      <c r="E122" s="4">
        <f>4+44+14+8+86+29+30+6+67+1</f>
        <v>289</v>
      </c>
      <c r="F122" s="4">
        <f>59+3+20+5+2+1+5+4+5+2+2+39+17+11+4+90+3+4+2+9+3+10+2+19+20+4+8+1+16+2+28+10+7+3+12+15+9+4+24+5+3+3+2+3</f>
        <v>500</v>
      </c>
      <c r="G122" s="36">
        <v>1069</v>
      </c>
      <c r="H122" s="4">
        <f>4+189+1429</f>
        <v>1622</v>
      </c>
      <c r="I122" s="4">
        <v>94</v>
      </c>
      <c r="J122" s="36">
        <f>7261+2</f>
        <v>7263</v>
      </c>
      <c r="K122" s="36">
        <v>10418</v>
      </c>
      <c r="L122" s="36">
        <f>630</f>
        <v>630</v>
      </c>
      <c r="M122" s="43">
        <f>SUM(B122:L122)</f>
        <v>72270</v>
      </c>
    </row>
    <row r="123" spans="1:13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48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105</v>
      </c>
      <c r="F126" s="186" t="s">
        <v>49</v>
      </c>
      <c r="G126" s="187"/>
      <c r="H126" s="75">
        <v>3</v>
      </c>
      <c r="J126" s="186" t="s">
        <v>75</v>
      </c>
      <c r="K126" s="187"/>
      <c r="L126" s="186"/>
      <c r="M126" s="41">
        <v>5</v>
      </c>
    </row>
    <row r="127" spans="1:13" x14ac:dyDescent="0.2">
      <c r="A127" s="203" t="s">
        <v>84</v>
      </c>
      <c r="B127" s="200"/>
      <c r="C127" s="49">
        <v>114</v>
      </c>
      <c r="F127" s="190" t="s">
        <v>50</v>
      </c>
      <c r="G127" s="191"/>
      <c r="H127" s="76">
        <v>1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688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110</v>
      </c>
      <c r="D132" s="36">
        <v>33</v>
      </c>
      <c r="E132" s="36">
        <v>733</v>
      </c>
      <c r="F132" s="4">
        <v>429</v>
      </c>
      <c r="G132" s="4">
        <v>261</v>
      </c>
      <c r="H132" s="4">
        <v>7</v>
      </c>
      <c r="I132" s="4">
        <v>80</v>
      </c>
      <c r="J132" s="4">
        <v>322</v>
      </c>
      <c r="K132" s="4">
        <v>527</v>
      </c>
      <c r="L132" s="4">
        <f>SUM(C132:K132)</f>
        <v>2502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4" t="s">
        <v>181</v>
      </c>
      <c r="F133" s="134">
        <v>335</v>
      </c>
      <c r="G133" s="134" t="s">
        <v>181</v>
      </c>
      <c r="H133" s="134" t="s">
        <v>181</v>
      </c>
      <c r="I133" s="134" t="s">
        <v>181</v>
      </c>
      <c r="J133" s="134">
        <v>234</v>
      </c>
      <c r="K133" s="134" t="s">
        <v>181</v>
      </c>
      <c r="L133" s="4">
        <f>SUM(C133:K133)</f>
        <v>569</v>
      </c>
    </row>
    <row r="134" spans="1:13" ht="13.5" thickBot="1" x14ac:dyDescent="0.25">
      <c r="A134" s="38"/>
      <c r="B134" s="16" t="s">
        <v>196</v>
      </c>
      <c r="C134" s="18">
        <v>0</v>
      </c>
      <c r="D134" s="18">
        <v>0</v>
      </c>
      <c r="E134" s="18">
        <v>8</v>
      </c>
      <c r="F134" s="18">
        <v>5</v>
      </c>
      <c r="G134" s="18">
        <v>0</v>
      </c>
      <c r="H134" s="18">
        <v>1</v>
      </c>
      <c r="I134" s="135" t="s">
        <v>181</v>
      </c>
      <c r="J134" s="18">
        <v>0</v>
      </c>
      <c r="K134" s="18">
        <v>0</v>
      </c>
      <c r="L134" s="18">
        <f>SUM(C134:K134)</f>
        <v>14</v>
      </c>
    </row>
    <row r="135" spans="1:13" ht="13.5" thickTop="1" x14ac:dyDescent="0.2">
      <c r="B135" s="60" t="s">
        <v>14</v>
      </c>
      <c r="C135" s="36">
        <f>SUM(C132:C134)</f>
        <v>110</v>
      </c>
      <c r="D135" s="36">
        <f>SUM(D132:D134)</f>
        <v>33</v>
      </c>
      <c r="E135" s="36">
        <f t="shared" ref="E135:L135" si="9">SUM(E132:E134)</f>
        <v>741</v>
      </c>
      <c r="F135" s="36">
        <f t="shared" si="9"/>
        <v>769</v>
      </c>
      <c r="G135" s="36">
        <f t="shared" si="9"/>
        <v>261</v>
      </c>
      <c r="H135" s="36">
        <f t="shared" si="9"/>
        <v>8</v>
      </c>
      <c r="I135" s="36">
        <f t="shared" si="9"/>
        <v>80</v>
      </c>
      <c r="J135" s="36">
        <f t="shared" si="9"/>
        <v>556</v>
      </c>
      <c r="K135" s="36">
        <f t="shared" si="9"/>
        <v>527</v>
      </c>
      <c r="L135" s="57">
        <f t="shared" si="9"/>
        <v>3085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245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326</v>
      </c>
      <c r="B141" s="27"/>
      <c r="C141" s="27"/>
      <c r="D141" s="27"/>
      <c r="E141" s="27"/>
      <c r="F141" s="28"/>
      <c r="G141" s="89"/>
      <c r="H141" s="29"/>
      <c r="I141" s="82"/>
      <c r="J141" s="83"/>
      <c r="K141" s="84"/>
      <c r="L141" s="84"/>
      <c r="M141" s="119"/>
    </row>
    <row r="142" spans="1:13" ht="18" x14ac:dyDescent="0.25">
      <c r="B142" s="27"/>
      <c r="C142" s="27"/>
      <c r="D142" s="27"/>
      <c r="E142" s="27"/>
      <c r="F142" s="82"/>
      <c r="G142" s="83"/>
      <c r="H142" s="82"/>
      <c r="I142" s="82"/>
      <c r="J142" s="82"/>
      <c r="K142" s="85"/>
      <c r="L142" s="85"/>
      <c r="M142" s="86"/>
    </row>
    <row r="143" spans="1:13" x14ac:dyDescent="0.2">
      <c r="A143" s="56"/>
      <c r="B143" s="27"/>
      <c r="C143" s="27"/>
      <c r="D143" s="27"/>
      <c r="E143" s="27"/>
      <c r="F143" s="28"/>
      <c r="G143" s="82"/>
      <c r="H143" s="82"/>
      <c r="I143" s="82"/>
      <c r="J143" s="82"/>
      <c r="K143" s="85"/>
      <c r="L143" s="85"/>
      <c r="M143" s="86"/>
    </row>
    <row r="144" spans="1:13" x14ac:dyDescent="0.2">
      <c r="A144" s="118"/>
      <c r="M144" s="43"/>
    </row>
    <row r="145" spans="1:13" ht="18" x14ac:dyDescent="0.25">
      <c r="A145" s="34" t="s">
        <v>164</v>
      </c>
      <c r="B145" s="89"/>
      <c r="C145" s="27"/>
      <c r="D145" s="27"/>
      <c r="E145" s="27"/>
      <c r="F145" s="82"/>
      <c r="G145" s="35" t="s">
        <v>168</v>
      </c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339</v>
      </c>
      <c r="B146" s="27"/>
      <c r="C146" s="27"/>
      <c r="D146" s="27"/>
      <c r="E146" s="27"/>
      <c r="F146" s="82"/>
      <c r="G146" s="163" t="s">
        <v>345</v>
      </c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336</v>
      </c>
      <c r="B147" s="89"/>
      <c r="C147" s="27"/>
      <c r="D147" s="27"/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3" x14ac:dyDescent="0.2">
      <c r="A148" s="168" t="s">
        <v>340</v>
      </c>
      <c r="B148" s="35"/>
      <c r="C148" s="35"/>
      <c r="D148" s="27"/>
      <c r="E148" s="35"/>
      <c r="F148" s="92"/>
      <c r="I148" s="82"/>
      <c r="J148" s="82"/>
      <c r="K148" s="27"/>
      <c r="L148" s="27"/>
      <c r="M148" s="30"/>
    </row>
    <row r="149" spans="1:13" x14ac:dyDescent="0.2">
      <c r="A149" s="161" t="s">
        <v>330</v>
      </c>
      <c r="B149" s="27"/>
      <c r="C149" s="27"/>
      <c r="D149" s="27"/>
      <c r="E149" s="27"/>
      <c r="F149" s="92"/>
      <c r="I149" s="82"/>
      <c r="J149" s="82"/>
      <c r="K149" s="27"/>
      <c r="L149" s="27"/>
      <c r="M149" s="30"/>
    </row>
    <row r="150" spans="1:13" ht="18" x14ac:dyDescent="0.25">
      <c r="A150" s="161" t="s">
        <v>337</v>
      </c>
      <c r="B150" s="27"/>
      <c r="C150" s="27"/>
      <c r="D150" s="27"/>
      <c r="E150" s="27"/>
      <c r="F150" s="92"/>
      <c r="G150" s="89"/>
      <c r="I150" s="29"/>
      <c r="J150" s="29"/>
      <c r="K150" s="27"/>
      <c r="L150" s="27"/>
      <c r="M150" s="30"/>
    </row>
    <row r="151" spans="1:13" ht="18" x14ac:dyDescent="0.25">
      <c r="A151" s="162" t="s">
        <v>338</v>
      </c>
      <c r="F151" s="28"/>
      <c r="G151" s="89"/>
      <c r="I151" s="29"/>
      <c r="J151" s="29"/>
      <c r="K151" s="27"/>
      <c r="L151" s="27"/>
      <c r="M151" s="30"/>
    </row>
    <row r="152" spans="1:13" x14ac:dyDescent="0.2">
      <c r="A152" s="34"/>
      <c r="B152" s="27"/>
      <c r="C152" s="27"/>
      <c r="D152" s="27"/>
      <c r="E152" s="27"/>
      <c r="F152" s="28"/>
      <c r="G152" s="89"/>
      <c r="I152" s="82"/>
      <c r="J152" s="82"/>
      <c r="K152" s="85"/>
      <c r="L152" s="85"/>
      <c r="M152" s="86"/>
    </row>
    <row r="153" spans="1:13" x14ac:dyDescent="0.2">
      <c r="A153" s="56"/>
      <c r="B153" s="27"/>
      <c r="C153" s="27"/>
      <c r="D153" s="27"/>
      <c r="E153" s="27"/>
      <c r="F153" s="28"/>
      <c r="G153" s="89"/>
      <c r="I153" s="82"/>
      <c r="J153" s="82"/>
      <c r="K153" s="85"/>
      <c r="L153" s="85"/>
      <c r="M153" s="86"/>
    </row>
    <row r="154" spans="1:13" x14ac:dyDescent="0.2">
      <c r="A154" s="131" t="s">
        <v>173</v>
      </c>
      <c r="B154" s="27"/>
      <c r="C154" s="27"/>
      <c r="D154" s="27"/>
      <c r="E154" s="27"/>
      <c r="F154" s="28"/>
      <c r="G154" s="131" t="s">
        <v>170</v>
      </c>
      <c r="I154" s="82"/>
      <c r="J154" s="82"/>
      <c r="K154" s="85"/>
      <c r="L154" s="85"/>
      <c r="M154" s="86"/>
    </row>
    <row r="155" spans="1:13" x14ac:dyDescent="0.2">
      <c r="A155" s="161" t="s">
        <v>343</v>
      </c>
      <c r="B155" s="27"/>
      <c r="C155" s="27"/>
      <c r="D155" s="27"/>
      <c r="E155" s="27"/>
      <c r="F155" s="28"/>
      <c r="G155" s="163" t="s">
        <v>313</v>
      </c>
      <c r="I155" s="82"/>
      <c r="J155" s="82"/>
      <c r="K155" s="85"/>
      <c r="L155" s="85"/>
      <c r="M155" s="86"/>
    </row>
    <row r="156" spans="1:13" x14ac:dyDescent="0.2">
      <c r="A156" s="168" t="s">
        <v>332</v>
      </c>
      <c r="B156" s="27"/>
      <c r="C156" s="27"/>
      <c r="G156" s="163" t="s">
        <v>329</v>
      </c>
      <c r="M156" s="43"/>
    </row>
    <row r="157" spans="1:13" x14ac:dyDescent="0.2">
      <c r="A157" s="168" t="s">
        <v>327</v>
      </c>
      <c r="B157" s="27"/>
      <c r="C157" s="27"/>
      <c r="D157" s="27"/>
      <c r="E157" s="27"/>
      <c r="F157" s="28"/>
      <c r="G157" s="168" t="s">
        <v>341</v>
      </c>
      <c r="K157" s="85"/>
      <c r="L157" s="85"/>
      <c r="M157" s="86"/>
    </row>
    <row r="158" spans="1:13" x14ac:dyDescent="0.2">
      <c r="A158" s="168" t="s">
        <v>328</v>
      </c>
      <c r="B158" s="35"/>
      <c r="C158" s="35"/>
      <c r="D158" s="27"/>
      <c r="E158" s="27"/>
      <c r="F158" s="28"/>
      <c r="I158" s="82"/>
      <c r="J158" s="82"/>
      <c r="K158" s="85"/>
      <c r="L158" s="85"/>
      <c r="M158" s="86"/>
    </row>
    <row r="159" spans="1:13" x14ac:dyDescent="0.2">
      <c r="A159" s="161" t="s">
        <v>342</v>
      </c>
      <c r="B159" s="27"/>
      <c r="C159" s="27"/>
      <c r="D159" s="27"/>
      <c r="E159" s="89"/>
      <c r="F159" s="27"/>
      <c r="I159" s="27"/>
      <c r="J159" s="82"/>
      <c r="M159" s="43"/>
    </row>
    <row r="160" spans="1:13" ht="18" x14ac:dyDescent="0.25">
      <c r="A160" s="161" t="s">
        <v>331</v>
      </c>
      <c r="B160" s="27"/>
      <c r="C160" s="27"/>
      <c r="D160" s="27"/>
      <c r="E160" s="27"/>
      <c r="F160" s="28"/>
      <c r="G160" s="89"/>
      <c r="I160" s="29"/>
      <c r="J160" s="29"/>
      <c r="K160" s="27"/>
      <c r="L160" s="27"/>
      <c r="M160" s="30"/>
    </row>
    <row r="161" spans="1:13" ht="18" x14ac:dyDescent="0.25">
      <c r="A161" s="161" t="s">
        <v>333</v>
      </c>
      <c r="B161" s="27"/>
      <c r="C161" s="27"/>
      <c r="D161" s="27"/>
      <c r="E161" s="89"/>
      <c r="F161" s="82"/>
      <c r="G161" s="89"/>
      <c r="H161" s="83"/>
      <c r="I161" s="83"/>
      <c r="J161" s="82"/>
      <c r="K161" s="85"/>
      <c r="L161" s="89"/>
      <c r="M161" s="120"/>
    </row>
    <row r="162" spans="1:13" ht="18" x14ac:dyDescent="0.25">
      <c r="A162" s="161" t="s">
        <v>334</v>
      </c>
      <c r="B162" s="27"/>
      <c r="C162" s="27"/>
      <c r="D162" s="27"/>
      <c r="E162" s="27"/>
      <c r="F162" s="82"/>
      <c r="H162" s="82"/>
      <c r="I162" s="83"/>
      <c r="J162" s="83"/>
      <c r="K162" s="84"/>
      <c r="L162" s="84"/>
      <c r="M162" s="30"/>
    </row>
    <row r="163" spans="1:13" ht="18" x14ac:dyDescent="0.25">
      <c r="A163" s="161" t="s">
        <v>335</v>
      </c>
      <c r="B163" s="27"/>
      <c r="C163" s="27"/>
      <c r="D163" s="27"/>
      <c r="E163" s="27"/>
      <c r="F163" s="82"/>
      <c r="H163" s="83"/>
      <c r="I163" s="83"/>
      <c r="J163" s="83"/>
      <c r="K163" s="84"/>
      <c r="L163" s="84"/>
      <c r="M163" s="30"/>
    </row>
    <row r="164" spans="1:13" ht="18" x14ac:dyDescent="0.25">
      <c r="A164" s="171" t="s">
        <v>344</v>
      </c>
      <c r="B164" s="31"/>
      <c r="C164" s="31"/>
      <c r="D164" s="31"/>
      <c r="E164" s="117"/>
      <c r="F164" s="91"/>
      <c r="G164" s="130"/>
      <c r="H164" s="130"/>
      <c r="I164" s="91"/>
      <c r="J164" s="130"/>
      <c r="K164" s="90"/>
      <c r="L164" s="90"/>
      <c r="M164" s="114"/>
    </row>
    <row r="165" spans="1:13" x14ac:dyDescent="0.2">
      <c r="A165" s="89"/>
      <c r="B165" s="28"/>
      <c r="C165" s="82"/>
      <c r="D165" s="82"/>
      <c r="E165" s="82"/>
      <c r="F165" s="82"/>
      <c r="G165" s="85"/>
      <c r="H165" s="85"/>
      <c r="I165" s="85"/>
      <c r="J165" s="85"/>
      <c r="K165" s="84"/>
      <c r="L165" s="84"/>
      <c r="M165" s="27"/>
    </row>
    <row r="168" spans="1:13" x14ac:dyDescent="0.2">
      <c r="I168" s="36"/>
      <c r="J168" s="36"/>
      <c r="K168" s="36"/>
      <c r="L168" s="36"/>
    </row>
    <row r="169" spans="1:13" x14ac:dyDescent="0.2">
      <c r="I169" s="36"/>
      <c r="J169" s="36"/>
      <c r="K169" s="36"/>
      <c r="L169" s="36"/>
    </row>
    <row r="179" spans="6:10" ht="18" x14ac:dyDescent="0.25">
      <c r="F179" s="14"/>
      <c r="G179" s="12"/>
      <c r="H179" s="15"/>
      <c r="I179" s="15"/>
      <c r="J179" s="12"/>
    </row>
    <row r="208" spans="1:13" ht="18" x14ac:dyDescent="0.25">
      <c r="A208" s="89"/>
      <c r="B208" s="27"/>
      <c r="C208" s="27"/>
      <c r="D208" s="27"/>
      <c r="E208" s="27"/>
      <c r="F208" s="82"/>
      <c r="G208" s="83"/>
      <c r="H208" s="83"/>
      <c r="I208" s="82"/>
      <c r="J208" s="83"/>
      <c r="K208" s="84"/>
      <c r="L208" s="84"/>
      <c r="M208" s="27"/>
    </row>
  </sheetData>
  <pageMargins left="0.75" right="0.75" top="1" bottom="1" header="0.5" footer="0.5"/>
  <pageSetup scale="9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9"/>
  <sheetViews>
    <sheetView topLeftCell="A88" workbookViewId="0">
      <selection activeCell="O39" sqref="O39"/>
    </sheetView>
  </sheetViews>
  <sheetFormatPr defaultRowHeight="12.75" x14ac:dyDescent="0.2"/>
  <cols>
    <col min="2" max="2" width="11" customWidth="1"/>
    <col min="5" max="5" width="10.28515625" bestFit="1" customWidth="1"/>
    <col min="7" max="7" width="10.85546875" bestFit="1" customWidth="1"/>
    <col min="10" max="10" width="10.5703125" bestFit="1" customWidth="1"/>
    <col min="12" max="12" width="11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 t="s">
        <v>201</v>
      </c>
      <c r="H2" s="10"/>
      <c r="I2" s="10"/>
      <c r="J2" s="12"/>
    </row>
    <row r="6" spans="1:18" x14ac:dyDescent="0.2">
      <c r="A6" s="186" t="s">
        <v>15</v>
      </c>
      <c r="B6" s="187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5" t="s">
        <v>14</v>
      </c>
    </row>
    <row r="7" spans="1:18" x14ac:dyDescent="0.2">
      <c r="A7" s="38"/>
      <c r="B7" s="36" t="s">
        <v>16</v>
      </c>
      <c r="C7" s="36">
        <v>21</v>
      </c>
      <c r="D7" s="36">
        <v>0</v>
      </c>
      <c r="E7" s="36">
        <v>63</v>
      </c>
      <c r="F7" s="72">
        <v>260</v>
      </c>
      <c r="G7" s="72">
        <v>70</v>
      </c>
      <c r="H7" s="72">
        <v>0</v>
      </c>
      <c r="I7" s="72">
        <v>2</v>
      </c>
      <c r="J7" s="72">
        <v>78</v>
      </c>
      <c r="K7" s="72">
        <v>16</v>
      </c>
      <c r="L7" s="4"/>
      <c r="M7" s="61">
        <f>SUM(C7:L7)</f>
        <v>510</v>
      </c>
    </row>
    <row r="8" spans="1:18" x14ac:dyDescent="0.2">
      <c r="A8" s="38"/>
      <c r="B8" s="57" t="s">
        <v>156</v>
      </c>
      <c r="C8" s="36">
        <v>3</v>
      </c>
      <c r="D8" s="36">
        <v>0</v>
      </c>
      <c r="E8" s="36">
        <v>5</v>
      </c>
      <c r="F8" s="72">
        <v>19</v>
      </c>
      <c r="G8" s="72">
        <v>19</v>
      </c>
      <c r="H8" s="72">
        <v>0</v>
      </c>
      <c r="I8" s="72">
        <v>0</v>
      </c>
      <c r="J8" s="72">
        <v>21</v>
      </c>
      <c r="K8" s="72">
        <v>20</v>
      </c>
      <c r="L8" s="72">
        <v>4</v>
      </c>
      <c r="M8" s="61">
        <f>SUM(C8:L8)</f>
        <v>91</v>
      </c>
    </row>
    <row r="9" spans="1:18" ht="13.5" thickBot="1" x14ac:dyDescent="0.25">
      <c r="A9" s="38"/>
      <c r="B9" s="57" t="s">
        <v>157</v>
      </c>
      <c r="C9" s="3">
        <v>11</v>
      </c>
      <c r="D9" s="3">
        <v>0</v>
      </c>
      <c r="E9" s="3">
        <v>2</v>
      </c>
      <c r="F9" s="3">
        <v>38</v>
      </c>
      <c r="G9" s="3">
        <v>5</v>
      </c>
      <c r="H9" s="3">
        <v>0</v>
      </c>
      <c r="I9" s="3">
        <v>0</v>
      </c>
      <c r="J9" s="3">
        <v>9</v>
      </c>
      <c r="K9" s="3">
        <v>0</v>
      </c>
      <c r="L9" s="3">
        <v>0</v>
      </c>
      <c r="M9" s="59">
        <f>SUM(C9:L9)</f>
        <v>65</v>
      </c>
    </row>
    <row r="10" spans="1:18" ht="13.5" thickTop="1" x14ac:dyDescent="0.2">
      <c r="A10" s="48"/>
      <c r="B10" s="65" t="s">
        <v>14</v>
      </c>
      <c r="C10" s="45">
        <f>SUM(C7:C9)</f>
        <v>35</v>
      </c>
      <c r="D10" s="45">
        <f t="shared" ref="D10:L10" si="0">SUM(D7:D9)</f>
        <v>0</v>
      </c>
      <c r="E10" s="45">
        <f t="shared" si="0"/>
        <v>70</v>
      </c>
      <c r="F10" s="45">
        <f>SUM(F7:F9)</f>
        <v>317</v>
      </c>
      <c r="G10" s="45">
        <f>SUM(G7:G9)</f>
        <v>94</v>
      </c>
      <c r="H10" s="45">
        <f t="shared" si="0"/>
        <v>0</v>
      </c>
      <c r="I10" s="45">
        <f t="shared" si="0"/>
        <v>2</v>
      </c>
      <c r="J10" s="45">
        <f t="shared" si="0"/>
        <v>108</v>
      </c>
      <c r="K10" s="45">
        <f t="shared" si="0"/>
        <v>36</v>
      </c>
      <c r="L10" s="45">
        <f t="shared" si="0"/>
        <v>4</v>
      </c>
      <c r="M10" s="45">
        <f>SUM(M7:M9)</f>
        <v>666</v>
      </c>
    </row>
    <row r="11" spans="1:18" x14ac:dyDescent="0.2">
      <c r="B11" s="1"/>
      <c r="D11" s="2"/>
    </row>
    <row r="12" spans="1:18" x14ac:dyDescent="0.2">
      <c r="A12" s="186" t="s">
        <v>52</v>
      </c>
      <c r="B12" s="187"/>
      <c r="C12" s="40">
        <v>3240</v>
      </c>
      <c r="D12" s="66">
        <v>80</v>
      </c>
      <c r="E12" s="251">
        <v>20822</v>
      </c>
      <c r="F12" s="66">
        <v>11951</v>
      </c>
      <c r="G12" s="66">
        <v>9414</v>
      </c>
      <c r="H12" s="66">
        <v>106</v>
      </c>
      <c r="I12" s="66">
        <v>62</v>
      </c>
      <c r="J12" s="66">
        <v>11081</v>
      </c>
      <c r="K12" s="66">
        <v>1907</v>
      </c>
      <c r="L12" s="66"/>
      <c r="M12" s="159">
        <f>SUM(C12:K12)</f>
        <v>58663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59</v>
      </c>
      <c r="D19" s="36">
        <v>1</v>
      </c>
      <c r="E19" s="36">
        <v>131</v>
      </c>
      <c r="F19" s="4">
        <v>172</v>
      </c>
      <c r="G19" s="4">
        <v>108</v>
      </c>
      <c r="H19" s="4">
        <v>1</v>
      </c>
      <c r="I19" s="4">
        <v>5</v>
      </c>
      <c r="J19" s="4">
        <v>74</v>
      </c>
      <c r="K19" s="4">
        <v>48</v>
      </c>
      <c r="L19" s="43">
        <f>SUM(C19:K19)</f>
        <v>599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17</v>
      </c>
      <c r="F21" s="4">
        <v>16</v>
      </c>
      <c r="G21" s="4">
        <v>19</v>
      </c>
      <c r="H21" s="4">
        <v>1</v>
      </c>
      <c r="I21" s="4">
        <v>0</v>
      </c>
      <c r="J21" s="4">
        <v>27</v>
      </c>
      <c r="K21" s="4">
        <v>0</v>
      </c>
      <c r="L21" s="61">
        <f>SUM(C21:K21)</f>
        <v>81</v>
      </c>
    </row>
    <row r="22" spans="1:13" x14ac:dyDescent="0.2">
      <c r="A22" s="38"/>
      <c r="B22" s="36" t="s">
        <v>10</v>
      </c>
      <c r="C22" s="4">
        <v>4</v>
      </c>
      <c r="D22" s="4">
        <v>3</v>
      </c>
      <c r="E22" s="4">
        <v>10</v>
      </c>
      <c r="F22" s="4">
        <v>55</v>
      </c>
      <c r="G22" s="4">
        <v>18</v>
      </c>
      <c r="H22" s="4">
        <v>1</v>
      </c>
      <c r="I22" s="4">
        <v>2</v>
      </c>
      <c r="J22" s="4">
        <v>29</v>
      </c>
      <c r="K22" s="4">
        <v>5</v>
      </c>
      <c r="L22" s="61">
        <f>SUM(C22:K22)</f>
        <v>127</v>
      </c>
    </row>
    <row r="23" spans="1:13" ht="13.5" thickBot="1" x14ac:dyDescent="0.25">
      <c r="A23" s="38"/>
      <c r="B23" s="36" t="s">
        <v>9</v>
      </c>
      <c r="C23" s="3">
        <v>107</v>
      </c>
      <c r="D23" s="3">
        <v>58</v>
      </c>
      <c r="E23" s="3">
        <v>307</v>
      </c>
      <c r="F23" s="3">
        <v>348</v>
      </c>
      <c r="G23" s="3">
        <v>183</v>
      </c>
      <c r="H23" s="3">
        <v>11</v>
      </c>
      <c r="I23" s="3">
        <v>14</v>
      </c>
      <c r="J23" s="3">
        <v>558</v>
      </c>
      <c r="K23" s="3">
        <v>162</v>
      </c>
      <c r="L23" s="59">
        <f>SUM(C23:K23)</f>
        <v>1748</v>
      </c>
    </row>
    <row r="24" spans="1:13" ht="13.5" thickTop="1" x14ac:dyDescent="0.2">
      <c r="A24" s="38"/>
      <c r="B24" s="60" t="s">
        <v>14</v>
      </c>
      <c r="C24" s="36">
        <f>SUM(C19:C23)</f>
        <v>172</v>
      </c>
      <c r="D24" s="36">
        <f t="shared" ref="D24:L24" si="1">SUM(D19:D23)</f>
        <v>62</v>
      </c>
      <c r="E24" s="36">
        <f t="shared" si="1"/>
        <v>466</v>
      </c>
      <c r="F24" s="36">
        <f t="shared" si="1"/>
        <v>591</v>
      </c>
      <c r="G24" s="36">
        <f t="shared" si="1"/>
        <v>329</v>
      </c>
      <c r="H24" s="36">
        <f t="shared" si="1"/>
        <v>14</v>
      </c>
      <c r="I24" s="36">
        <f t="shared" si="1"/>
        <v>21</v>
      </c>
      <c r="J24" s="36">
        <f t="shared" si="1"/>
        <v>688</v>
      </c>
      <c r="K24" s="36">
        <f t="shared" si="1"/>
        <v>219</v>
      </c>
      <c r="L24" s="256">
        <f t="shared" si="1"/>
        <v>2562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s="1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10.75</v>
      </c>
      <c r="D27" s="87">
        <v>0</v>
      </c>
      <c r="E27" s="87">
        <v>37.5</v>
      </c>
      <c r="F27" s="87">
        <v>75.75</v>
      </c>
      <c r="G27" s="87">
        <v>5.5</v>
      </c>
      <c r="H27" s="87">
        <v>0</v>
      </c>
      <c r="I27" s="87">
        <v>7.5</v>
      </c>
      <c r="J27" s="87">
        <v>22.5</v>
      </c>
      <c r="K27" s="87">
        <v>10</v>
      </c>
      <c r="L27" s="87"/>
      <c r="M27" s="87">
        <f>SUM(C27:L27)</f>
        <v>169.5</v>
      </c>
    </row>
    <row r="29" spans="1:13" x14ac:dyDescent="0.2">
      <c r="A29" s="181" t="s">
        <v>66</v>
      </c>
      <c r="B29" s="181"/>
      <c r="C29" s="181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95</v>
      </c>
      <c r="D31" s="36">
        <v>53</v>
      </c>
      <c r="E31" s="36">
        <v>90</v>
      </c>
      <c r="F31" s="4">
        <v>136</v>
      </c>
      <c r="G31" s="4">
        <v>151</v>
      </c>
      <c r="H31" s="4">
        <v>177</v>
      </c>
      <c r="I31" s="4">
        <v>0</v>
      </c>
      <c r="J31" s="4">
        <v>186</v>
      </c>
      <c r="K31" s="4">
        <v>59</v>
      </c>
      <c r="L31" s="4">
        <f t="shared" ref="L31:L36" si="2">SUM(C31:K31)</f>
        <v>947</v>
      </c>
    </row>
    <row r="32" spans="1:13" x14ac:dyDescent="0.2">
      <c r="B32" s="60" t="s">
        <v>18</v>
      </c>
      <c r="C32" s="36">
        <v>0</v>
      </c>
      <c r="D32" s="36">
        <v>0</v>
      </c>
      <c r="E32" s="36">
        <v>8</v>
      </c>
      <c r="F32" s="4">
        <v>34</v>
      </c>
      <c r="G32" s="4">
        <v>42</v>
      </c>
      <c r="H32" s="4">
        <v>0</v>
      </c>
      <c r="I32" s="4">
        <v>0</v>
      </c>
      <c r="J32" s="4">
        <v>14</v>
      </c>
      <c r="K32" s="4">
        <v>0</v>
      </c>
      <c r="L32" s="4">
        <f t="shared" si="2"/>
        <v>98</v>
      </c>
    </row>
    <row r="33" spans="1:12" x14ac:dyDescent="0.2">
      <c r="B33" s="60" t="s">
        <v>20</v>
      </c>
      <c r="C33" s="36">
        <v>162</v>
      </c>
      <c r="D33" s="36">
        <v>45</v>
      </c>
      <c r="E33" s="36">
        <v>401</v>
      </c>
      <c r="F33" s="36">
        <v>298</v>
      </c>
      <c r="G33" s="4">
        <v>315</v>
      </c>
      <c r="H33" s="4">
        <v>10</v>
      </c>
      <c r="I33" s="4">
        <v>0</v>
      </c>
      <c r="J33" s="36">
        <v>222</v>
      </c>
      <c r="K33" s="4">
        <v>0</v>
      </c>
      <c r="L33" s="4">
        <f t="shared" si="2"/>
        <v>1453</v>
      </c>
    </row>
    <row r="34" spans="1:12" x14ac:dyDescent="0.2">
      <c r="B34" s="60" t="s">
        <v>113</v>
      </c>
      <c r="C34" s="4">
        <f>16+42</f>
        <v>58</v>
      </c>
      <c r="D34" s="4">
        <v>31</v>
      </c>
      <c r="E34" s="4">
        <f>26+64</f>
        <v>90</v>
      </c>
      <c r="F34" s="4">
        <f>29+34</f>
        <v>63</v>
      </c>
      <c r="G34" s="4">
        <f>23+24</f>
        <v>47</v>
      </c>
      <c r="H34" s="4">
        <f>26+37</f>
        <v>63</v>
      </c>
      <c r="I34" s="4">
        <v>12</v>
      </c>
      <c r="J34" s="4">
        <v>170</v>
      </c>
      <c r="K34" s="4">
        <v>8</v>
      </c>
      <c r="L34" s="4">
        <f t="shared" si="2"/>
        <v>542</v>
      </c>
    </row>
    <row r="35" spans="1:12" ht="13.5" thickBot="1" x14ac:dyDescent="0.25">
      <c r="B35" s="16" t="s">
        <v>19</v>
      </c>
      <c r="C35" s="3">
        <f>C76</f>
        <v>35</v>
      </c>
      <c r="D35" s="3">
        <f t="shared" ref="D35:K35" si="3">D76</f>
        <v>48</v>
      </c>
      <c r="E35" s="3">
        <f t="shared" si="3"/>
        <v>99</v>
      </c>
      <c r="F35" s="3">
        <f t="shared" si="3"/>
        <v>191</v>
      </c>
      <c r="G35" s="3">
        <f t="shared" si="3"/>
        <v>115</v>
      </c>
      <c r="H35" s="3">
        <f t="shared" si="3"/>
        <v>26</v>
      </c>
      <c r="I35" s="3">
        <f t="shared" si="3"/>
        <v>27</v>
      </c>
      <c r="J35" s="3">
        <f t="shared" si="3"/>
        <v>272</v>
      </c>
      <c r="K35" s="3">
        <f t="shared" si="3"/>
        <v>120</v>
      </c>
      <c r="L35" s="122">
        <f t="shared" si="2"/>
        <v>933</v>
      </c>
    </row>
    <row r="36" spans="1:12" ht="13.5" thickTop="1" x14ac:dyDescent="0.2">
      <c r="B36" s="65" t="s">
        <v>14</v>
      </c>
      <c r="C36" s="45">
        <f t="shared" ref="C36:K36" si="4">SUM(C31:C35)</f>
        <v>350</v>
      </c>
      <c r="D36" s="45">
        <f t="shared" si="4"/>
        <v>177</v>
      </c>
      <c r="E36" s="45">
        <f t="shared" si="4"/>
        <v>688</v>
      </c>
      <c r="F36" s="45">
        <f t="shared" si="4"/>
        <v>722</v>
      </c>
      <c r="G36" s="45">
        <f t="shared" si="4"/>
        <v>670</v>
      </c>
      <c r="H36" s="45">
        <f t="shared" si="4"/>
        <v>276</v>
      </c>
      <c r="I36" s="45">
        <f t="shared" si="4"/>
        <v>39</v>
      </c>
      <c r="J36" s="45">
        <f t="shared" si="4"/>
        <v>864</v>
      </c>
      <c r="K36" s="45">
        <f t="shared" si="4"/>
        <v>187</v>
      </c>
      <c r="L36" s="62">
        <f t="shared" si="2"/>
        <v>3973</v>
      </c>
    </row>
    <row r="38" spans="1:12" x14ac:dyDescent="0.2">
      <c r="A38" s="186" t="s">
        <v>57</v>
      </c>
      <c r="B38" s="187"/>
      <c r="C38" s="40">
        <v>2</v>
      </c>
      <c r="D38" s="40">
        <v>0</v>
      </c>
      <c r="E38" s="40">
        <v>12</v>
      </c>
      <c r="F38" s="66">
        <v>20</v>
      </c>
      <c r="G38" s="66">
        <v>9</v>
      </c>
      <c r="H38" s="66">
        <v>1</v>
      </c>
      <c r="I38" s="66">
        <v>0</v>
      </c>
      <c r="J38" s="66">
        <v>7</v>
      </c>
      <c r="K38" s="66">
        <v>0</v>
      </c>
      <c r="L38" s="66">
        <f>SUM(C38:K38)</f>
        <v>51</v>
      </c>
    </row>
    <row r="39" spans="1:12" ht="13.5" thickBot="1" x14ac:dyDescent="0.25">
      <c r="A39" s="190" t="s">
        <v>158</v>
      </c>
      <c r="B39" s="191"/>
      <c r="C39" s="3">
        <v>0</v>
      </c>
      <c r="D39" s="3">
        <v>0</v>
      </c>
      <c r="E39" s="3">
        <v>0</v>
      </c>
      <c r="F39" s="3">
        <v>12</v>
      </c>
      <c r="G39" s="3">
        <v>42</v>
      </c>
      <c r="H39" s="3">
        <v>0</v>
      </c>
      <c r="I39" s="3">
        <v>0</v>
      </c>
      <c r="J39" s="3">
        <v>216</v>
      </c>
      <c r="K39" s="3">
        <v>0</v>
      </c>
      <c r="L39" s="122">
        <f>SUM(C39:K39)</f>
        <v>270</v>
      </c>
    </row>
    <row r="40" spans="1:12" ht="13.5" thickTop="1" x14ac:dyDescent="0.2">
      <c r="A40" s="71"/>
      <c r="B40" s="60" t="s">
        <v>7</v>
      </c>
      <c r="C40" s="36">
        <f>SUM(C38:C39)</f>
        <v>2</v>
      </c>
      <c r="D40" s="36">
        <f t="shared" ref="D40:K40" si="5">SUM(D38:D39)</f>
        <v>0</v>
      </c>
      <c r="E40" s="36">
        <f t="shared" si="5"/>
        <v>12</v>
      </c>
      <c r="F40" s="36">
        <f t="shared" si="5"/>
        <v>32</v>
      </c>
      <c r="G40" s="36">
        <f t="shared" si="5"/>
        <v>51</v>
      </c>
      <c r="H40" s="36">
        <f t="shared" si="5"/>
        <v>1</v>
      </c>
      <c r="I40" s="36">
        <f t="shared" si="5"/>
        <v>0</v>
      </c>
      <c r="J40" s="36">
        <f t="shared" si="5"/>
        <v>223</v>
      </c>
      <c r="K40" s="36">
        <f t="shared" si="5"/>
        <v>0</v>
      </c>
      <c r="L40" s="128">
        <f>SUM(L38:L39)</f>
        <v>321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1" t="s">
        <v>56</v>
      </c>
      <c r="B42" s="188"/>
      <c r="C42" s="45">
        <v>0</v>
      </c>
      <c r="D42" s="45">
        <v>0</v>
      </c>
      <c r="E42" s="45">
        <v>0</v>
      </c>
      <c r="F42" s="68">
        <v>0</v>
      </c>
      <c r="G42" s="68">
        <v>2</v>
      </c>
      <c r="H42" s="68">
        <v>0</v>
      </c>
      <c r="I42" s="68">
        <v>0</v>
      </c>
      <c r="J42" s="68">
        <v>48</v>
      </c>
      <c r="K42" s="68">
        <v>0</v>
      </c>
      <c r="L42" s="68">
        <f>SUM(C42:K42)</f>
        <v>50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f>SUM(C44:K44)</f>
        <v>0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f>SUM(C45:K45)</f>
        <v>0</v>
      </c>
    </row>
    <row r="46" spans="1:12" x14ac:dyDescent="0.2">
      <c r="A46" s="38"/>
    </row>
    <row r="47" spans="1:12" x14ac:dyDescent="0.2">
      <c r="A47" s="181" t="s">
        <v>240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73" t="s">
        <v>14</v>
      </c>
    </row>
    <row r="49" spans="2:12" x14ac:dyDescent="0.2">
      <c r="B49" s="38" t="s">
        <v>73</v>
      </c>
      <c r="C49" s="36">
        <v>3</v>
      </c>
      <c r="D49" s="36">
        <v>2</v>
      </c>
      <c r="E49" s="36">
        <v>1</v>
      </c>
      <c r="F49" s="4">
        <v>13</v>
      </c>
      <c r="G49" s="4">
        <v>17</v>
      </c>
      <c r="H49" s="4">
        <v>4</v>
      </c>
      <c r="I49" s="4"/>
      <c r="J49" s="4">
        <v>24</v>
      </c>
      <c r="K49" s="4">
        <v>5</v>
      </c>
      <c r="L49" s="61">
        <f t="shared" ref="L49:L76" si="6">SUM(C49:K49)</f>
        <v>69</v>
      </c>
    </row>
    <row r="50" spans="2:12" x14ac:dyDescent="0.2">
      <c r="B50" s="42" t="s">
        <v>119</v>
      </c>
      <c r="C50" s="36"/>
      <c r="D50" s="36"/>
      <c r="E50" s="4"/>
      <c r="F50" s="36"/>
      <c r="G50" s="36"/>
      <c r="H50" s="36"/>
      <c r="I50" s="36"/>
      <c r="J50" s="36">
        <v>0</v>
      </c>
      <c r="K50" s="36"/>
      <c r="L50" s="61">
        <f t="shared" si="6"/>
        <v>0</v>
      </c>
    </row>
    <row r="51" spans="2:12" x14ac:dyDescent="0.2">
      <c r="B51" s="42" t="s">
        <v>108</v>
      </c>
      <c r="C51" s="36"/>
      <c r="D51" s="36"/>
      <c r="E51" s="36">
        <v>2</v>
      </c>
      <c r="F51" s="36">
        <v>12</v>
      </c>
      <c r="G51" s="36">
        <v>4</v>
      </c>
      <c r="H51" s="4">
        <v>1</v>
      </c>
      <c r="I51" s="36"/>
      <c r="J51" s="4">
        <v>0</v>
      </c>
      <c r="K51" s="4"/>
      <c r="L51" s="61">
        <f t="shared" si="6"/>
        <v>19</v>
      </c>
    </row>
    <row r="52" spans="2:12" x14ac:dyDescent="0.2">
      <c r="B52" s="42" t="s">
        <v>144</v>
      </c>
      <c r="C52" s="36"/>
      <c r="D52" s="36">
        <v>1</v>
      </c>
      <c r="E52" s="36">
        <v>1</v>
      </c>
      <c r="F52" s="36"/>
      <c r="G52" s="36"/>
      <c r="H52" s="36"/>
      <c r="I52" s="36"/>
      <c r="J52" s="4">
        <v>1</v>
      </c>
      <c r="K52" s="4"/>
      <c r="L52" s="61">
        <f t="shared" si="6"/>
        <v>3</v>
      </c>
    </row>
    <row r="53" spans="2:12" x14ac:dyDescent="0.2">
      <c r="B53" s="42" t="s">
        <v>159</v>
      </c>
      <c r="C53" s="4">
        <v>1</v>
      </c>
      <c r="D53" s="36">
        <v>5</v>
      </c>
      <c r="E53" s="4">
        <v>5</v>
      </c>
      <c r="F53" s="36">
        <v>7</v>
      </c>
      <c r="G53" s="4">
        <v>1</v>
      </c>
      <c r="H53" s="4">
        <v>1</v>
      </c>
      <c r="I53" s="36"/>
      <c r="J53" s="4">
        <v>11</v>
      </c>
      <c r="K53" s="4"/>
      <c r="L53" s="61">
        <f t="shared" si="6"/>
        <v>31</v>
      </c>
    </row>
    <row r="54" spans="2:12" x14ac:dyDescent="0.2">
      <c r="B54" s="42" t="s">
        <v>109</v>
      </c>
      <c r="C54" s="4">
        <v>2</v>
      </c>
      <c r="D54" s="36"/>
      <c r="E54" s="4">
        <v>7</v>
      </c>
      <c r="F54" s="4">
        <v>13</v>
      </c>
      <c r="G54" s="4">
        <v>5</v>
      </c>
      <c r="H54" s="36"/>
      <c r="I54" s="36"/>
      <c r="J54" s="4">
        <v>0</v>
      </c>
      <c r="K54" s="36"/>
      <c r="L54" s="61">
        <f t="shared" si="6"/>
        <v>27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>
        <v>0</v>
      </c>
      <c r="K55" s="36"/>
      <c r="L55" s="61">
        <f>SUM(C55:K55)</f>
        <v>0</v>
      </c>
    </row>
    <row r="56" spans="2:12" x14ac:dyDescent="0.2">
      <c r="B56" s="42" t="s">
        <v>93</v>
      </c>
      <c r="C56" s="36">
        <v>2</v>
      </c>
      <c r="D56" s="36"/>
      <c r="E56" s="4">
        <v>1</v>
      </c>
      <c r="F56" s="4">
        <v>1</v>
      </c>
      <c r="G56" s="4"/>
      <c r="H56" s="4"/>
      <c r="I56" s="4"/>
      <c r="J56" s="4">
        <v>4</v>
      </c>
      <c r="K56" s="4"/>
      <c r="L56" s="61">
        <f t="shared" si="6"/>
        <v>8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4">
        <v>0</v>
      </c>
      <c r="K57" s="4"/>
      <c r="L57" s="61">
        <f t="shared" si="6"/>
        <v>0</v>
      </c>
    </row>
    <row r="58" spans="2:12" x14ac:dyDescent="0.2">
      <c r="B58" s="42" t="s">
        <v>107</v>
      </c>
      <c r="C58" s="36"/>
      <c r="D58" s="36"/>
      <c r="E58" s="4">
        <v>2</v>
      </c>
      <c r="F58" s="4">
        <v>2</v>
      </c>
      <c r="G58" s="4"/>
      <c r="H58" s="4"/>
      <c r="I58" s="36">
        <v>1</v>
      </c>
      <c r="J58" s="4">
        <v>1</v>
      </c>
      <c r="K58" s="4"/>
      <c r="L58" s="61">
        <f t="shared" si="6"/>
        <v>6</v>
      </c>
    </row>
    <row r="59" spans="2:12" x14ac:dyDescent="0.2">
      <c r="B59" s="42" t="s">
        <v>110</v>
      </c>
      <c r="C59" s="36">
        <v>1</v>
      </c>
      <c r="D59" s="36">
        <v>3</v>
      </c>
      <c r="E59" s="4">
        <v>5</v>
      </c>
      <c r="F59" s="4">
        <v>22</v>
      </c>
      <c r="G59" s="4">
        <v>5</v>
      </c>
      <c r="H59" s="4"/>
      <c r="I59" s="4">
        <v>4</v>
      </c>
      <c r="J59" s="4">
        <v>19</v>
      </c>
      <c r="K59" s="4">
        <v>5</v>
      </c>
      <c r="L59" s="61">
        <f t="shared" si="6"/>
        <v>64</v>
      </c>
    </row>
    <row r="60" spans="2:12" x14ac:dyDescent="0.2">
      <c r="B60" s="42" t="s">
        <v>95</v>
      </c>
      <c r="C60" s="36">
        <v>4</v>
      </c>
      <c r="D60" s="36"/>
      <c r="E60" s="36"/>
      <c r="F60" s="4">
        <v>12</v>
      </c>
      <c r="G60" s="4">
        <v>2</v>
      </c>
      <c r="H60" s="4"/>
      <c r="I60" s="36"/>
      <c r="J60" s="4">
        <v>14</v>
      </c>
      <c r="K60" s="4">
        <v>4</v>
      </c>
      <c r="L60" s="61">
        <f t="shared" si="6"/>
        <v>36</v>
      </c>
    </row>
    <row r="61" spans="2:12" x14ac:dyDescent="0.2">
      <c r="B61" s="38" t="s">
        <v>42</v>
      </c>
      <c r="C61" s="4">
        <v>5</v>
      </c>
      <c r="D61" s="36">
        <v>4</v>
      </c>
      <c r="E61" s="4">
        <v>2</v>
      </c>
      <c r="F61" s="4">
        <v>6</v>
      </c>
      <c r="G61" s="4">
        <v>11</v>
      </c>
      <c r="H61" s="4">
        <v>4</v>
      </c>
      <c r="I61" s="4">
        <v>16</v>
      </c>
      <c r="J61" s="4">
        <v>4</v>
      </c>
      <c r="K61" s="4">
        <v>11</v>
      </c>
      <c r="L61" s="61">
        <f t="shared" si="6"/>
        <v>63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>
        <v>0</v>
      </c>
      <c r="J62" s="4">
        <v>0</v>
      </c>
      <c r="K62" s="4"/>
      <c r="L62" s="61">
        <f t="shared" si="6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>
        <v>0</v>
      </c>
      <c r="K63" s="4"/>
      <c r="L63" s="61">
        <f t="shared" si="6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>
        <v>0</v>
      </c>
      <c r="K64" s="4"/>
      <c r="L64" s="61">
        <f t="shared" si="6"/>
        <v>0</v>
      </c>
    </row>
    <row r="65" spans="1:13" x14ac:dyDescent="0.2">
      <c r="B65" s="42" t="s">
        <v>163</v>
      </c>
      <c r="C65" s="36"/>
      <c r="D65" s="36"/>
      <c r="E65" s="36"/>
      <c r="F65" s="36">
        <v>1</v>
      </c>
      <c r="G65" s="4">
        <v>1</v>
      </c>
      <c r="H65" s="4"/>
      <c r="I65" s="4"/>
      <c r="J65" s="4">
        <v>0</v>
      </c>
      <c r="K65" s="4">
        <v>2</v>
      </c>
      <c r="L65" s="61">
        <f t="shared" si="6"/>
        <v>4</v>
      </c>
    </row>
    <row r="66" spans="1:13" x14ac:dyDescent="0.2">
      <c r="B66" s="38" t="s">
        <v>83</v>
      </c>
      <c r="C66" s="4">
        <v>4</v>
      </c>
      <c r="D66" s="4">
        <v>22</v>
      </c>
      <c r="E66" s="4">
        <v>30</v>
      </c>
      <c r="F66" s="4">
        <v>35</v>
      </c>
      <c r="G66" s="4">
        <v>25</v>
      </c>
      <c r="H66" s="4">
        <v>10</v>
      </c>
      <c r="I66" s="4">
        <v>6</v>
      </c>
      <c r="J66" s="4">
        <v>98</v>
      </c>
      <c r="K66" s="4">
        <v>41</v>
      </c>
      <c r="L66" s="61">
        <f t="shared" si="6"/>
        <v>271</v>
      </c>
    </row>
    <row r="67" spans="1:13" x14ac:dyDescent="0.2">
      <c r="B67" s="42" t="s">
        <v>161</v>
      </c>
      <c r="C67" s="4"/>
      <c r="D67" s="4"/>
      <c r="E67" s="4"/>
      <c r="F67" s="4"/>
      <c r="G67" s="4"/>
      <c r="H67" s="4"/>
      <c r="I67" s="4"/>
      <c r="J67" s="4">
        <v>0</v>
      </c>
      <c r="K67" s="4"/>
      <c r="L67" s="61">
        <f t="shared" si="6"/>
        <v>0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>
        <v>0</v>
      </c>
      <c r="K68" s="4"/>
      <c r="L68" s="61">
        <f t="shared" si="6"/>
        <v>0</v>
      </c>
    </row>
    <row r="69" spans="1:13" x14ac:dyDescent="0.2">
      <c r="B69" s="42" t="s">
        <v>94</v>
      </c>
      <c r="C69" s="4"/>
      <c r="D69" s="36"/>
      <c r="E69" s="4">
        <v>4</v>
      </c>
      <c r="F69" s="4">
        <v>5</v>
      </c>
      <c r="G69" s="4">
        <v>15</v>
      </c>
      <c r="H69" s="4">
        <v>1</v>
      </c>
      <c r="I69" s="4"/>
      <c r="J69" s="4">
        <v>7</v>
      </c>
      <c r="K69" s="4">
        <v>4</v>
      </c>
      <c r="L69" s="61">
        <f t="shared" si="6"/>
        <v>36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>
        <v>0</v>
      </c>
      <c r="K70" s="4"/>
      <c r="L70" s="61">
        <f t="shared" si="6"/>
        <v>0</v>
      </c>
    </row>
    <row r="71" spans="1:13" x14ac:dyDescent="0.2">
      <c r="B71" s="42" t="s">
        <v>44</v>
      </c>
      <c r="C71" s="4">
        <v>13</v>
      </c>
      <c r="D71" s="36">
        <v>9</v>
      </c>
      <c r="E71" s="4">
        <v>29</v>
      </c>
      <c r="F71" s="4">
        <v>56</v>
      </c>
      <c r="G71" s="4">
        <v>26</v>
      </c>
      <c r="H71" s="4">
        <v>4</v>
      </c>
      <c r="I71" s="4"/>
      <c r="J71" s="4">
        <v>78</v>
      </c>
      <c r="K71" s="4">
        <v>47</v>
      </c>
      <c r="L71" s="61">
        <f t="shared" si="6"/>
        <v>262</v>
      </c>
    </row>
    <row r="72" spans="1:13" x14ac:dyDescent="0.2">
      <c r="B72" s="42" t="s">
        <v>43</v>
      </c>
      <c r="C72" s="36"/>
      <c r="D72" s="36"/>
      <c r="E72" s="36">
        <v>10</v>
      </c>
      <c r="F72" s="4">
        <v>6</v>
      </c>
      <c r="G72" s="4">
        <v>3</v>
      </c>
      <c r="H72" s="4"/>
      <c r="I72" s="4"/>
      <c r="J72" s="4">
        <v>2</v>
      </c>
      <c r="K72" s="4">
        <v>1</v>
      </c>
      <c r="L72" s="61">
        <f t="shared" si="6"/>
        <v>22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4">
        <v>0</v>
      </c>
      <c r="K73" s="4"/>
      <c r="L73" s="61">
        <f t="shared" si="6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4">
        <v>0</v>
      </c>
      <c r="K74" s="4"/>
      <c r="L74" s="61">
        <f t="shared" si="6"/>
        <v>0</v>
      </c>
    </row>
    <row r="75" spans="1:13" ht="13.5" thickBot="1" x14ac:dyDescent="0.25">
      <c r="B75" s="80" t="s">
        <v>67</v>
      </c>
      <c r="C75" s="3"/>
      <c r="D75" s="3">
        <v>2</v>
      </c>
      <c r="E75" s="3"/>
      <c r="F75" s="3"/>
      <c r="G75" s="3"/>
      <c r="H75" s="3">
        <v>1</v>
      </c>
      <c r="I75" s="3"/>
      <c r="J75" s="3">
        <v>9</v>
      </c>
      <c r="K75" s="3"/>
      <c r="L75" s="150">
        <f t="shared" si="6"/>
        <v>12</v>
      </c>
    </row>
    <row r="76" spans="1:13" ht="13.5" thickTop="1" x14ac:dyDescent="0.2">
      <c r="B76" s="69" t="s">
        <v>7</v>
      </c>
      <c r="C76" s="45">
        <f t="shared" ref="C76:K76" si="7">SUM(C49:C75)</f>
        <v>35</v>
      </c>
      <c r="D76" s="45">
        <f t="shared" si="7"/>
        <v>48</v>
      </c>
      <c r="E76" s="45">
        <f t="shared" si="7"/>
        <v>99</v>
      </c>
      <c r="F76" s="45">
        <f t="shared" si="7"/>
        <v>191</v>
      </c>
      <c r="G76" s="45">
        <f t="shared" si="7"/>
        <v>115</v>
      </c>
      <c r="H76" s="45">
        <f t="shared" si="7"/>
        <v>26</v>
      </c>
      <c r="I76" s="45">
        <f t="shared" si="7"/>
        <v>27</v>
      </c>
      <c r="J76" s="45">
        <f t="shared" si="7"/>
        <v>272</v>
      </c>
      <c r="K76" s="45">
        <f t="shared" si="7"/>
        <v>120</v>
      </c>
      <c r="L76" s="151">
        <f t="shared" si="6"/>
        <v>933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215"/>
      <c r="M78" s="6"/>
    </row>
    <row r="79" spans="1:13" x14ac:dyDescent="0.2">
      <c r="A79" s="104" t="s">
        <v>123</v>
      </c>
      <c r="C79" s="43">
        <v>1</v>
      </c>
      <c r="D79" s="6"/>
      <c r="E79" s="38" t="s">
        <v>9</v>
      </c>
      <c r="F79" s="36"/>
      <c r="G79" s="43">
        <v>262</v>
      </c>
      <c r="I79" s="42" t="s">
        <v>133</v>
      </c>
      <c r="J79" s="36"/>
      <c r="K79" s="36"/>
      <c r="L79" s="43">
        <v>402</v>
      </c>
      <c r="M79" s="6"/>
    </row>
    <row r="80" spans="1:13" x14ac:dyDescent="0.2">
      <c r="A80" s="42" t="s">
        <v>29</v>
      </c>
      <c r="B80" s="36"/>
      <c r="C80" s="43">
        <v>5</v>
      </c>
      <c r="D80" s="6"/>
      <c r="E80" s="38" t="s">
        <v>10</v>
      </c>
      <c r="F80" s="36"/>
      <c r="G80" s="43">
        <v>128</v>
      </c>
      <c r="I80" s="42" t="s">
        <v>134</v>
      </c>
      <c r="J80" s="36"/>
      <c r="K80" s="36"/>
      <c r="L80" s="43">
        <v>189</v>
      </c>
      <c r="M80" s="6"/>
    </row>
    <row r="81" spans="1:13" x14ac:dyDescent="0.2">
      <c r="A81" s="42" t="s">
        <v>124</v>
      </c>
      <c r="B81" s="36"/>
      <c r="C81" s="43">
        <v>33</v>
      </c>
      <c r="D81" s="6"/>
      <c r="E81" s="38" t="s">
        <v>11</v>
      </c>
      <c r="F81" s="36"/>
      <c r="G81" s="43">
        <v>32</v>
      </c>
      <c r="I81" s="42" t="s">
        <v>46</v>
      </c>
      <c r="J81" s="36"/>
      <c r="K81" s="36"/>
      <c r="L81" s="43">
        <v>18</v>
      </c>
      <c r="M81" s="6"/>
    </row>
    <row r="82" spans="1:13" x14ac:dyDescent="0.2">
      <c r="A82" s="42" t="s">
        <v>125</v>
      </c>
      <c r="B82" s="57"/>
      <c r="C82" s="43">
        <v>274</v>
      </c>
      <c r="D82" s="6"/>
      <c r="E82" s="38" t="s">
        <v>38</v>
      </c>
      <c r="F82" s="36"/>
      <c r="G82" s="43">
        <v>107</v>
      </c>
      <c r="I82" s="42" t="s">
        <v>47</v>
      </c>
      <c r="J82" s="36"/>
      <c r="K82" s="36"/>
      <c r="L82" s="43">
        <v>6</v>
      </c>
      <c r="M82" s="6"/>
    </row>
    <row r="83" spans="1:13" x14ac:dyDescent="0.2">
      <c r="A83" s="42" t="s">
        <v>106</v>
      </c>
      <c r="B83" s="57"/>
      <c r="C83" s="43">
        <v>50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4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13</v>
      </c>
    </row>
    <row r="86" spans="1:13" x14ac:dyDescent="0.2">
      <c r="A86" s="42" t="s">
        <v>126</v>
      </c>
      <c r="B86" s="36"/>
      <c r="C86" s="43">
        <v>0</v>
      </c>
      <c r="E86" s="186" t="s">
        <v>31</v>
      </c>
      <c r="F86" s="193"/>
      <c r="G86" s="194"/>
      <c r="H86" s="215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15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12</v>
      </c>
    </row>
    <row r="89" spans="1:13" x14ac:dyDescent="0.2">
      <c r="A89" s="104" t="s">
        <v>18</v>
      </c>
      <c r="C89" s="61">
        <v>0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v>404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1711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>
        <v>7</v>
      </c>
      <c r="E96" s="17"/>
      <c r="H96" s="1"/>
      <c r="I96" s="71" t="s">
        <v>139</v>
      </c>
      <c r="J96" s="60"/>
      <c r="L96">
        <v>178</v>
      </c>
      <c r="M96" s="43"/>
    </row>
    <row r="97" spans="1:17" x14ac:dyDescent="0.2">
      <c r="A97" s="1"/>
      <c r="B97" s="17" t="s">
        <v>147</v>
      </c>
      <c r="C97" s="17"/>
      <c r="D97" s="17">
        <v>111</v>
      </c>
      <c r="E97" s="17">
        <v>180</v>
      </c>
      <c r="I97" s="42" t="s">
        <v>140</v>
      </c>
      <c r="K97" s="36"/>
      <c r="L97" s="36"/>
      <c r="M97" s="43"/>
    </row>
    <row r="98" spans="1:17" x14ac:dyDescent="0.2">
      <c r="B98" s="22" t="s">
        <v>102</v>
      </c>
      <c r="C98" s="22"/>
      <c r="D98" s="132">
        <v>401</v>
      </c>
      <c r="E98" s="22"/>
      <c r="I98" s="71" t="s">
        <v>154</v>
      </c>
      <c r="J98" s="60"/>
      <c r="K98" s="60"/>
      <c r="L98" s="57">
        <v>43</v>
      </c>
      <c r="M98" s="74"/>
    </row>
    <row r="99" spans="1:17" x14ac:dyDescent="0.2">
      <c r="B99" s="37" t="s">
        <v>151</v>
      </c>
      <c r="C99" s="22"/>
      <c r="D99" s="22">
        <v>37</v>
      </c>
      <c r="E99" s="22"/>
      <c r="I99" s="71"/>
      <c r="J99" s="60"/>
      <c r="K99" s="60"/>
      <c r="L99" s="57"/>
      <c r="M99" s="74"/>
    </row>
    <row r="100" spans="1:17" x14ac:dyDescent="0.2">
      <c r="A100" s="1"/>
      <c r="B100" s="37" t="s">
        <v>149</v>
      </c>
      <c r="C100" s="22"/>
      <c r="D100" s="22">
        <v>137</v>
      </c>
      <c r="E100" s="22"/>
      <c r="H100" s="1"/>
      <c r="I100" s="69"/>
      <c r="J100" s="65"/>
      <c r="K100" s="98"/>
      <c r="L100" s="98"/>
      <c r="M100" s="99"/>
    </row>
    <row r="101" spans="1:17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7" x14ac:dyDescent="0.2">
      <c r="B102" s="17"/>
      <c r="C102" s="37"/>
      <c r="D102" s="37"/>
      <c r="E102" s="37"/>
      <c r="H102" s="1"/>
      <c r="I102" s="199" t="s">
        <v>112</v>
      </c>
      <c r="J102" s="199"/>
      <c r="K102" s="199"/>
      <c r="L102" s="93"/>
      <c r="M102" s="93"/>
    </row>
    <row r="103" spans="1:17" x14ac:dyDescent="0.2">
      <c r="A103" s="1" t="s">
        <v>80</v>
      </c>
      <c r="B103" s="17" t="s">
        <v>115</v>
      </c>
      <c r="C103" s="37"/>
      <c r="D103" s="37">
        <v>98</v>
      </c>
      <c r="E103" s="37"/>
      <c r="I103" s="102" t="s">
        <v>116</v>
      </c>
      <c r="J103" s="40"/>
      <c r="K103" s="103">
        <v>1970</v>
      </c>
      <c r="L103" s="93"/>
      <c r="M103" s="93"/>
    </row>
    <row r="104" spans="1:17" x14ac:dyDescent="0.2">
      <c r="A104" s="1"/>
      <c r="B104" s="37" t="s">
        <v>98</v>
      </c>
      <c r="C104" s="37"/>
      <c r="D104" s="37">
        <v>54</v>
      </c>
      <c r="E104" s="37"/>
      <c r="I104" s="104" t="s">
        <v>101</v>
      </c>
      <c r="J104" s="4"/>
      <c r="K104" s="105">
        <v>57</v>
      </c>
      <c r="L104" s="93"/>
      <c r="M104" s="93"/>
    </row>
    <row r="105" spans="1:17" x14ac:dyDescent="0.2">
      <c r="B105" s="21" t="s">
        <v>99</v>
      </c>
      <c r="C105" s="21"/>
      <c r="D105" s="20">
        <v>27</v>
      </c>
      <c r="E105" s="20"/>
      <c r="I105" s="107"/>
      <c r="J105" s="108"/>
      <c r="K105" s="97"/>
      <c r="L105" s="93"/>
      <c r="M105" s="93"/>
    </row>
    <row r="106" spans="1:17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7" x14ac:dyDescent="0.2">
      <c r="A107" s="1" t="s">
        <v>103</v>
      </c>
      <c r="B107" s="21" t="s">
        <v>81</v>
      </c>
      <c r="C107" s="21"/>
      <c r="D107" s="39">
        <v>0</v>
      </c>
      <c r="E107" s="17"/>
      <c r="I107" s="102"/>
      <c r="J107" s="40"/>
      <c r="K107" s="50" t="s">
        <v>25</v>
      </c>
      <c r="L107" s="112" t="s">
        <v>26</v>
      </c>
      <c r="M107" s="113" t="s">
        <v>14</v>
      </c>
      <c r="P107" s="213"/>
      <c r="Q107" s="213"/>
    </row>
    <row r="108" spans="1:17" x14ac:dyDescent="0.2">
      <c r="B108" s="20"/>
      <c r="C108" s="20"/>
      <c r="D108" s="21"/>
      <c r="E108" s="21"/>
      <c r="I108" s="110" t="s">
        <v>23</v>
      </c>
      <c r="J108" s="101"/>
      <c r="K108" s="36"/>
      <c r="L108" s="36"/>
      <c r="M108" s="109">
        <v>0</v>
      </c>
    </row>
    <row r="109" spans="1:17" x14ac:dyDescent="0.2">
      <c r="A109" s="1" t="s">
        <v>77</v>
      </c>
      <c r="B109" s="20" t="s">
        <v>82</v>
      </c>
      <c r="C109" s="20"/>
      <c r="D109" s="17">
        <v>0</v>
      </c>
      <c r="E109" s="17"/>
      <c r="I109" s="110" t="s">
        <v>24</v>
      </c>
      <c r="J109" s="101"/>
      <c r="K109" s="36"/>
      <c r="L109" s="36"/>
      <c r="M109" s="109">
        <v>0</v>
      </c>
    </row>
    <row r="110" spans="1:17" x14ac:dyDescent="0.2">
      <c r="A110" s="1"/>
      <c r="B110" s="115" t="s">
        <v>153</v>
      </c>
      <c r="D110" s="20">
        <v>2</v>
      </c>
      <c r="E110" s="20"/>
      <c r="I110" s="110" t="s">
        <v>156</v>
      </c>
      <c r="J110" s="101"/>
      <c r="K110" s="36"/>
      <c r="L110" s="36"/>
      <c r="M110" s="109">
        <v>0</v>
      </c>
    </row>
    <row r="111" spans="1:17" x14ac:dyDescent="0.2">
      <c r="A111" s="1"/>
      <c r="B111" s="39" t="s">
        <v>182</v>
      </c>
      <c r="C111" s="20"/>
      <c r="D111" s="116">
        <v>407</v>
      </c>
      <c r="E111" s="20"/>
      <c r="I111" s="111" t="s">
        <v>352</v>
      </c>
      <c r="J111" s="98"/>
      <c r="K111" s="62"/>
      <c r="L111" s="62"/>
      <c r="M111" s="95"/>
    </row>
    <row r="112" spans="1:17" x14ac:dyDescent="0.2">
      <c r="A112" s="1"/>
      <c r="B112" s="116" t="s">
        <v>142</v>
      </c>
      <c r="C112" s="20"/>
      <c r="D112" s="116">
        <v>187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197</v>
      </c>
      <c r="E113" s="20"/>
      <c r="I113" s="253" t="s">
        <v>111</v>
      </c>
      <c r="J113" s="253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116">
        <v>41</v>
      </c>
      <c r="E114" s="20"/>
      <c r="I114" s="253" t="s">
        <v>143</v>
      </c>
      <c r="J114" s="253"/>
      <c r="K114" s="121">
        <v>5</v>
      </c>
      <c r="L114" s="94" t="s">
        <v>145</v>
      </c>
      <c r="M114" s="101"/>
    </row>
    <row r="115" spans="1:13" x14ac:dyDescent="0.2">
      <c r="D115">
        <f>SUM(D95:D114)</f>
        <v>3417</v>
      </c>
      <c r="E115">
        <f>SUM(E95:E114)</f>
        <v>180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7"/>
      <c r="D117" s="127"/>
      <c r="E117" s="126"/>
      <c r="F117" s="127"/>
    </row>
    <row r="118" spans="1:13" x14ac:dyDescent="0.2">
      <c r="A118" s="181" t="s">
        <v>58</v>
      </c>
      <c r="B118" s="198"/>
      <c r="C118" s="252"/>
      <c r="D118" s="45"/>
    </row>
    <row r="119" spans="1:13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48720</v>
      </c>
      <c r="C122" s="36">
        <f>96+42+23</f>
        <v>161</v>
      </c>
      <c r="D122" s="36">
        <v>1479</v>
      </c>
      <c r="E122" s="4">
        <f>4+44+14+8+86+29+30+67+32+1</f>
        <v>315</v>
      </c>
      <c r="F122" s="4">
        <f>58+3+20+4+2+1+5+4+5+2+2+38+15+11+4+79+3+4+2+9+3+10+2+6+19+18+4+8+1+15+2+27+8+2+7+3+12+14+9+4+24+5+3+3+2+3</f>
        <v>485</v>
      </c>
      <c r="G122" s="36">
        <v>1069</v>
      </c>
      <c r="H122" s="4">
        <f>4+189+1473</f>
        <v>1666</v>
      </c>
      <c r="I122" s="4">
        <v>94</v>
      </c>
      <c r="J122" s="36">
        <f>5081+2</f>
        <v>5083</v>
      </c>
      <c r="K122" s="36">
        <v>10418</v>
      </c>
      <c r="L122" s="36">
        <v>630</v>
      </c>
      <c r="M122" s="43">
        <f>SUM(B122:L122)</f>
        <v>70120</v>
      </c>
    </row>
    <row r="123" spans="1:13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36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106</v>
      </c>
      <c r="F126" s="186" t="s">
        <v>49</v>
      </c>
      <c r="G126" s="187"/>
      <c r="H126" s="75">
        <v>1</v>
      </c>
      <c r="J126" s="186" t="s">
        <v>75</v>
      </c>
      <c r="K126" s="187"/>
      <c r="L126" s="186"/>
      <c r="M126" s="41">
        <v>0</v>
      </c>
    </row>
    <row r="127" spans="1:13" x14ac:dyDescent="0.2">
      <c r="A127" s="203" t="s">
        <v>84</v>
      </c>
      <c r="B127" s="200"/>
      <c r="C127" s="49">
        <v>158</v>
      </c>
      <c r="F127" s="190" t="s">
        <v>50</v>
      </c>
      <c r="G127" s="191"/>
      <c r="H127" s="76">
        <v>1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230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1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74" t="s">
        <v>14</v>
      </c>
    </row>
    <row r="132" spans="1:13" x14ac:dyDescent="0.2">
      <c r="A132" s="38"/>
      <c r="B132" s="60" t="s">
        <v>195</v>
      </c>
      <c r="C132" s="36">
        <v>60</v>
      </c>
      <c r="D132" s="36">
        <v>24</v>
      </c>
      <c r="E132" s="36">
        <v>560</v>
      </c>
      <c r="F132" s="4">
        <v>336</v>
      </c>
      <c r="G132" s="4">
        <v>198</v>
      </c>
      <c r="H132" s="4">
        <v>31</v>
      </c>
      <c r="I132" s="4">
        <v>71</v>
      </c>
      <c r="J132" s="4">
        <v>210</v>
      </c>
      <c r="K132" s="4">
        <v>519</v>
      </c>
      <c r="L132" s="61">
        <f>SUM(C132:K132)</f>
        <v>2009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4" t="s">
        <v>181</v>
      </c>
      <c r="F133" s="134">
        <v>211</v>
      </c>
      <c r="G133" s="134" t="s">
        <v>181</v>
      </c>
      <c r="H133" s="134" t="s">
        <v>181</v>
      </c>
      <c r="I133" s="134" t="s">
        <v>181</v>
      </c>
      <c r="J133" s="134">
        <v>155</v>
      </c>
      <c r="K133" s="134" t="s">
        <v>181</v>
      </c>
      <c r="L133" s="61">
        <f>SUM(C133:K133)</f>
        <v>366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1</v>
      </c>
      <c r="E134" s="208">
        <v>1</v>
      </c>
      <c r="F134" s="208">
        <v>3</v>
      </c>
      <c r="G134" s="208">
        <v>0</v>
      </c>
      <c r="H134" s="208">
        <v>0</v>
      </c>
      <c r="I134" s="135" t="s">
        <v>181</v>
      </c>
      <c r="J134" s="208">
        <v>3</v>
      </c>
      <c r="K134" s="208">
        <v>0</v>
      </c>
      <c r="L134" s="160">
        <f>SUM(C134:K134)</f>
        <v>8</v>
      </c>
    </row>
    <row r="135" spans="1:13" ht="13.5" thickTop="1" x14ac:dyDescent="0.2">
      <c r="A135" s="38"/>
      <c r="B135" s="60" t="s">
        <v>14</v>
      </c>
      <c r="C135" s="36">
        <f>SUM(C132:C134)</f>
        <v>60</v>
      </c>
      <c r="D135" s="36">
        <f>SUM(D132:D134)</f>
        <v>25</v>
      </c>
      <c r="E135" s="36">
        <f t="shared" ref="E135:L135" si="8">SUM(E132:E134)</f>
        <v>561</v>
      </c>
      <c r="F135" s="36">
        <f t="shared" si="8"/>
        <v>550</v>
      </c>
      <c r="G135" s="36">
        <f t="shared" si="8"/>
        <v>198</v>
      </c>
      <c r="H135" s="36">
        <f t="shared" si="8"/>
        <v>31</v>
      </c>
      <c r="I135" s="36">
        <f t="shared" si="8"/>
        <v>71</v>
      </c>
      <c r="J135" s="36">
        <f t="shared" si="8"/>
        <v>368</v>
      </c>
      <c r="K135" s="36">
        <f t="shared" si="8"/>
        <v>519</v>
      </c>
      <c r="L135" s="49">
        <f t="shared" si="8"/>
        <v>2383</v>
      </c>
    </row>
    <row r="136" spans="1:13" x14ac:dyDescent="0.2">
      <c r="A136" s="3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4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6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245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346</v>
      </c>
      <c r="B141" s="27"/>
      <c r="C141" s="27"/>
      <c r="D141" s="27"/>
      <c r="E141" s="27"/>
      <c r="F141" s="28"/>
      <c r="G141" s="163" t="s">
        <v>362</v>
      </c>
      <c r="H141" s="29"/>
      <c r="I141" s="82"/>
      <c r="J141" s="83"/>
      <c r="K141" s="84"/>
      <c r="L141" s="84"/>
      <c r="M141" s="119"/>
    </row>
    <row r="142" spans="1:13" x14ac:dyDescent="0.2">
      <c r="A142" s="170" t="s">
        <v>363</v>
      </c>
      <c r="B142" s="27"/>
      <c r="C142" s="27"/>
      <c r="D142" s="27"/>
      <c r="E142" s="27"/>
      <c r="F142" s="82"/>
      <c r="G142" s="163" t="s">
        <v>365</v>
      </c>
      <c r="H142" s="82"/>
      <c r="I142" s="82"/>
      <c r="J142" s="82"/>
      <c r="K142" s="85"/>
      <c r="L142" s="85"/>
      <c r="M142" s="86"/>
    </row>
    <row r="143" spans="1:13" x14ac:dyDescent="0.2">
      <c r="A143" s="255" t="s">
        <v>364</v>
      </c>
      <c r="B143" s="27"/>
      <c r="C143" s="27"/>
      <c r="D143" s="27"/>
      <c r="E143" s="27"/>
      <c r="F143" s="28"/>
      <c r="G143" s="168" t="s">
        <v>371</v>
      </c>
      <c r="H143" s="82"/>
      <c r="I143" s="82"/>
      <c r="J143" s="82"/>
      <c r="K143" s="85"/>
      <c r="L143" s="85"/>
      <c r="M143" s="86"/>
    </row>
    <row r="144" spans="1:13" x14ac:dyDescent="0.2">
      <c r="A144" s="88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43"/>
    </row>
    <row r="145" spans="1:13" ht="18" x14ac:dyDescent="0.25">
      <c r="A145" s="34" t="s">
        <v>164</v>
      </c>
      <c r="B145" s="89"/>
      <c r="C145" s="27"/>
      <c r="D145" s="27"/>
      <c r="E145" s="27"/>
      <c r="F145" s="82"/>
      <c r="G145" s="131" t="s">
        <v>106</v>
      </c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348</v>
      </c>
      <c r="B146" s="27"/>
      <c r="C146" s="27"/>
      <c r="D146" s="27"/>
      <c r="E146" s="27"/>
      <c r="F146" s="82"/>
      <c r="G146" s="168" t="s">
        <v>347</v>
      </c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359</v>
      </c>
      <c r="B147" s="89"/>
      <c r="C147" s="27"/>
      <c r="D147" s="27"/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3" x14ac:dyDescent="0.2">
      <c r="A148" s="162" t="s">
        <v>368</v>
      </c>
      <c r="B148" s="35"/>
      <c r="C148" s="35"/>
      <c r="D148" s="27"/>
      <c r="E148" s="35"/>
      <c r="F148" s="92"/>
      <c r="G148" s="35" t="s">
        <v>168</v>
      </c>
      <c r="H148" s="36"/>
      <c r="I148" s="82"/>
      <c r="J148" s="82"/>
      <c r="K148" s="27"/>
      <c r="L148" s="27"/>
      <c r="M148" s="30"/>
    </row>
    <row r="149" spans="1:13" x14ac:dyDescent="0.2">
      <c r="A149" s="161" t="s">
        <v>353</v>
      </c>
      <c r="B149" s="27"/>
      <c r="C149" s="27"/>
      <c r="D149" s="27"/>
      <c r="E149" s="27"/>
      <c r="F149" s="92"/>
      <c r="G149" s="163" t="s">
        <v>355</v>
      </c>
      <c r="H149" s="36"/>
      <c r="I149" s="82"/>
      <c r="J149" s="82"/>
      <c r="K149" s="27"/>
      <c r="L149" s="27"/>
      <c r="M149" s="30"/>
    </row>
    <row r="150" spans="1:13" ht="18" x14ac:dyDescent="0.25">
      <c r="A150" s="161" t="s">
        <v>354</v>
      </c>
      <c r="B150" s="27"/>
      <c r="C150" s="27"/>
      <c r="D150" s="27"/>
      <c r="E150" s="27"/>
      <c r="F150" s="92"/>
      <c r="G150" s="163" t="s">
        <v>366</v>
      </c>
      <c r="H150" s="36"/>
      <c r="I150" s="29"/>
      <c r="J150" s="29"/>
      <c r="K150" s="27"/>
      <c r="L150" s="27"/>
      <c r="M150" s="30"/>
    </row>
    <row r="151" spans="1:13" ht="18" x14ac:dyDescent="0.25">
      <c r="A151" s="257" t="s">
        <v>358</v>
      </c>
      <c r="B151" s="36"/>
      <c r="C151" s="36"/>
      <c r="D151" s="36"/>
      <c r="E151" s="36"/>
      <c r="F151" s="28"/>
      <c r="G151" s="163" t="s">
        <v>372</v>
      </c>
      <c r="H151" s="36"/>
      <c r="I151" s="29"/>
      <c r="J151" s="29"/>
      <c r="K151" s="27"/>
      <c r="L151" s="27"/>
      <c r="M151" s="30"/>
    </row>
    <row r="152" spans="1:13" ht="15" x14ac:dyDescent="0.2">
      <c r="A152" s="257" t="s">
        <v>360</v>
      </c>
      <c r="B152" s="27"/>
      <c r="C152" s="27"/>
      <c r="D152" s="27"/>
      <c r="E152" s="27"/>
      <c r="F152" s="28"/>
      <c r="G152" s="89"/>
      <c r="H152" s="36"/>
      <c r="I152" s="82"/>
      <c r="J152" s="82"/>
      <c r="K152" s="85"/>
      <c r="L152" s="85"/>
      <c r="M152" s="86"/>
    </row>
    <row r="153" spans="1:13" x14ac:dyDescent="0.2">
      <c r="A153" s="161" t="s">
        <v>369</v>
      </c>
      <c r="B153" s="27"/>
      <c r="C153" s="27"/>
      <c r="D153" s="27"/>
      <c r="E153" s="27"/>
      <c r="F153" s="28"/>
      <c r="G153" s="89"/>
      <c r="H153" s="36"/>
      <c r="I153" s="82"/>
      <c r="J153" s="82"/>
      <c r="K153" s="85"/>
      <c r="L153" s="85"/>
      <c r="M153" s="86"/>
    </row>
    <row r="154" spans="1:13" x14ac:dyDescent="0.2">
      <c r="A154" s="56"/>
      <c r="B154" s="27"/>
      <c r="C154" s="27"/>
      <c r="D154" s="27"/>
      <c r="E154" s="27"/>
      <c r="F154" s="28"/>
      <c r="G154" s="36"/>
      <c r="H154" s="36"/>
      <c r="I154" s="82"/>
      <c r="J154" s="82"/>
      <c r="K154" s="85"/>
      <c r="L154" s="85"/>
      <c r="M154" s="86"/>
    </row>
    <row r="155" spans="1:13" x14ac:dyDescent="0.2">
      <c r="A155" s="56"/>
      <c r="B155" s="27"/>
      <c r="C155" s="27"/>
      <c r="D155" s="27"/>
      <c r="E155" s="27"/>
      <c r="F155" s="28"/>
      <c r="G155" s="131" t="s">
        <v>170</v>
      </c>
      <c r="H155" s="36"/>
      <c r="I155" s="82"/>
      <c r="J155" s="82"/>
      <c r="K155" s="85"/>
      <c r="L155" s="85"/>
      <c r="M155" s="86"/>
    </row>
    <row r="156" spans="1:13" x14ac:dyDescent="0.2">
      <c r="A156" s="149" t="s">
        <v>173</v>
      </c>
      <c r="B156" s="27"/>
      <c r="C156" s="27"/>
      <c r="D156" s="36"/>
      <c r="E156" s="36"/>
      <c r="F156" s="36"/>
      <c r="G156" s="163" t="s">
        <v>349</v>
      </c>
      <c r="H156" s="36"/>
      <c r="I156" s="36"/>
      <c r="J156" s="36"/>
      <c r="K156" s="36"/>
      <c r="L156" s="36"/>
      <c r="M156" s="43"/>
    </row>
    <row r="157" spans="1:13" x14ac:dyDescent="0.2">
      <c r="A157" s="162" t="s">
        <v>350</v>
      </c>
      <c r="B157" s="27"/>
      <c r="C157" s="27"/>
      <c r="D157" s="27"/>
      <c r="E157" s="27"/>
      <c r="F157" s="28"/>
      <c r="G157" s="168" t="s">
        <v>351</v>
      </c>
      <c r="H157" s="36"/>
      <c r="I157" s="36"/>
      <c r="J157" s="36"/>
      <c r="K157" s="85"/>
      <c r="L157" s="85"/>
      <c r="M157" s="86"/>
    </row>
    <row r="158" spans="1:13" x14ac:dyDescent="0.2">
      <c r="A158" s="162" t="s">
        <v>374</v>
      </c>
      <c r="B158" s="35"/>
      <c r="C158" s="35"/>
      <c r="D158" s="27"/>
      <c r="E158" s="27"/>
      <c r="F158" s="28"/>
      <c r="G158" s="258" t="s">
        <v>361</v>
      </c>
      <c r="H158" s="36"/>
      <c r="I158" s="82"/>
      <c r="J158" s="82"/>
      <c r="K158" s="85"/>
      <c r="L158" s="85"/>
      <c r="M158" s="86"/>
    </row>
    <row r="159" spans="1:13" x14ac:dyDescent="0.2">
      <c r="A159" s="170" t="s">
        <v>356</v>
      </c>
      <c r="B159" s="27"/>
      <c r="C159" s="27"/>
      <c r="D159" s="27"/>
      <c r="E159" s="89"/>
      <c r="F159" s="27"/>
      <c r="G159" s="89"/>
      <c r="H159" s="36"/>
      <c r="I159" s="27"/>
      <c r="J159" s="82"/>
      <c r="K159" s="36"/>
      <c r="L159" s="36"/>
      <c r="M159" s="43"/>
    </row>
    <row r="160" spans="1:13" ht="18" x14ac:dyDescent="0.25">
      <c r="A160" s="161" t="s">
        <v>357</v>
      </c>
      <c r="B160" s="27"/>
      <c r="C160" s="27"/>
      <c r="D160" s="27"/>
      <c r="E160" s="27"/>
      <c r="F160" s="28"/>
      <c r="G160" s="89"/>
      <c r="H160" s="36"/>
      <c r="I160" s="29"/>
      <c r="J160" s="29"/>
      <c r="K160" s="27"/>
      <c r="L160" s="27"/>
      <c r="M160" s="30"/>
    </row>
    <row r="161" spans="1:13" ht="18" x14ac:dyDescent="0.25">
      <c r="A161" s="161" t="s">
        <v>367</v>
      </c>
      <c r="B161" s="27"/>
      <c r="C161" s="27"/>
      <c r="D161" s="27"/>
      <c r="E161" s="89"/>
      <c r="F161" s="82"/>
      <c r="G161" s="89"/>
      <c r="H161" s="83"/>
      <c r="I161" s="83"/>
      <c r="J161" s="82"/>
      <c r="K161" s="85"/>
      <c r="L161" s="89"/>
      <c r="M161" s="120"/>
    </row>
    <row r="162" spans="1:13" ht="18" x14ac:dyDescent="0.25">
      <c r="A162" s="161" t="s">
        <v>370</v>
      </c>
      <c r="B162" s="27"/>
      <c r="C162" s="27"/>
      <c r="D162" s="27"/>
      <c r="E162" s="27"/>
      <c r="F162" s="82"/>
      <c r="G162" s="36"/>
      <c r="H162" s="82"/>
      <c r="I162" s="83"/>
      <c r="J162" s="83"/>
      <c r="K162" s="84"/>
      <c r="L162" s="84"/>
      <c r="M162" s="30"/>
    </row>
    <row r="163" spans="1:13" ht="18" x14ac:dyDescent="0.25">
      <c r="A163" s="161" t="s">
        <v>373</v>
      </c>
      <c r="B163" s="27"/>
      <c r="C163" s="27"/>
      <c r="D163" s="27"/>
      <c r="E163" s="27"/>
      <c r="F163" s="82"/>
      <c r="G163" s="36"/>
      <c r="H163" s="83"/>
      <c r="I163" s="83"/>
      <c r="J163" s="83"/>
      <c r="K163" s="84"/>
      <c r="L163" s="84"/>
      <c r="M163" s="30"/>
    </row>
    <row r="164" spans="1:13" ht="18" x14ac:dyDescent="0.25">
      <c r="A164" s="56"/>
      <c r="B164" s="27"/>
      <c r="C164" s="27"/>
      <c r="D164" s="27"/>
      <c r="E164" s="89"/>
      <c r="F164" s="82"/>
      <c r="G164" s="36"/>
      <c r="H164" s="83"/>
      <c r="I164" s="82"/>
      <c r="J164" s="83"/>
      <c r="K164" s="84"/>
      <c r="L164" s="84"/>
      <c r="M164" s="30"/>
    </row>
    <row r="165" spans="1:13" ht="18" x14ac:dyDescent="0.25">
      <c r="A165" s="129"/>
      <c r="B165" s="31"/>
      <c r="C165" s="31"/>
      <c r="D165" s="31"/>
      <c r="E165" s="117"/>
      <c r="F165" s="91"/>
      <c r="G165" s="130"/>
      <c r="H165" s="130"/>
      <c r="I165" s="91"/>
      <c r="J165" s="130"/>
      <c r="K165" s="90"/>
      <c r="L165" s="90"/>
      <c r="M165" s="114"/>
    </row>
    <row r="166" spans="1:13" x14ac:dyDescent="0.2">
      <c r="A166" s="89"/>
      <c r="B166" s="28"/>
      <c r="C166" s="82"/>
      <c r="D166" s="82"/>
      <c r="E166" s="82"/>
      <c r="F166" s="82"/>
      <c r="G166" s="85"/>
      <c r="H166" s="85"/>
      <c r="I166" s="85"/>
      <c r="J166" s="85"/>
      <c r="K166" s="84"/>
      <c r="L166" s="84"/>
      <c r="M166" s="27"/>
    </row>
    <row r="169" spans="1:13" x14ac:dyDescent="0.2">
      <c r="I169" s="36"/>
      <c r="J169" s="36"/>
      <c r="K169" s="36"/>
      <c r="L169" s="36"/>
    </row>
    <row r="170" spans="1:13" x14ac:dyDescent="0.2">
      <c r="I170" s="36"/>
      <c r="J170" s="36"/>
      <c r="K170" s="36"/>
      <c r="L170" s="36"/>
    </row>
    <row r="180" spans="6:10" ht="18" x14ac:dyDescent="0.25">
      <c r="F180" s="14"/>
      <c r="G180" s="12"/>
      <c r="H180" s="15"/>
      <c r="I180" s="15"/>
      <c r="J180" s="12"/>
    </row>
    <row r="209" spans="1:13" ht="18" x14ac:dyDescent="0.25">
      <c r="A209" s="89"/>
      <c r="B209" s="27"/>
      <c r="C209" s="27"/>
      <c r="D209" s="27"/>
      <c r="E209" s="27"/>
      <c r="F209" s="82"/>
      <c r="G209" s="83"/>
      <c r="H209" s="83"/>
      <c r="I209" s="82"/>
      <c r="J209" s="83"/>
      <c r="K209" s="84"/>
      <c r="L209" s="84"/>
      <c r="M209" s="27"/>
    </row>
  </sheetData>
  <pageMargins left="0.75" right="0.75" top="1" bottom="1" header="0.5" footer="0.5"/>
  <pageSetup scale="76" fitToHeight="0" orientation="landscape" r:id="rId1"/>
  <headerFooter alignWithMargins="0"/>
  <rowBreaks count="3" manualBreakCount="3">
    <brk id="46" max="16383" man="1"/>
    <brk id="92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1"/>
  <sheetViews>
    <sheetView topLeftCell="A34" workbookViewId="0">
      <selection activeCell="P33" sqref="P33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  <col min="12" max="12" width="11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 t="s">
        <v>202</v>
      </c>
      <c r="H2" s="10"/>
      <c r="I2" s="10"/>
      <c r="J2" s="12"/>
    </row>
    <row r="6" spans="1:18" x14ac:dyDescent="0.2">
      <c r="A6" s="186" t="s">
        <v>15</v>
      </c>
      <c r="B6" s="186"/>
      <c r="C6" s="4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31</v>
      </c>
      <c r="D7" s="36">
        <v>9</v>
      </c>
      <c r="E7" s="36">
        <v>87</v>
      </c>
      <c r="F7" s="72">
        <v>225</v>
      </c>
      <c r="G7" s="72">
        <v>63</v>
      </c>
      <c r="H7" s="72">
        <v>1</v>
      </c>
      <c r="I7" s="72">
        <v>3</v>
      </c>
      <c r="J7" s="72">
        <v>127</v>
      </c>
      <c r="K7" s="72">
        <v>16</v>
      </c>
      <c r="L7" s="4"/>
      <c r="M7" s="4">
        <f>SUM(C7:L7)</f>
        <v>562</v>
      </c>
    </row>
    <row r="8" spans="1:18" x14ac:dyDescent="0.2">
      <c r="A8" s="38"/>
      <c r="B8" s="57" t="s">
        <v>156</v>
      </c>
      <c r="C8" s="36">
        <v>1</v>
      </c>
      <c r="D8" s="36">
        <v>1</v>
      </c>
      <c r="E8" s="36">
        <v>0</v>
      </c>
      <c r="F8" s="72">
        <v>6</v>
      </c>
      <c r="G8" s="72">
        <v>5</v>
      </c>
      <c r="H8" s="72">
        <v>0</v>
      </c>
      <c r="I8" s="72">
        <v>0</v>
      </c>
      <c r="J8" s="72">
        <v>9</v>
      </c>
      <c r="K8" s="72">
        <v>0</v>
      </c>
      <c r="L8" s="72">
        <v>5</v>
      </c>
      <c r="M8" s="4">
        <f>SUM(C8:L8)</f>
        <v>27</v>
      </c>
    </row>
    <row r="9" spans="1:18" ht="13.5" thickBot="1" x14ac:dyDescent="0.25">
      <c r="A9" s="38"/>
      <c r="B9" s="57" t="s">
        <v>157</v>
      </c>
      <c r="C9" s="3">
        <v>125</v>
      </c>
      <c r="D9" s="3">
        <v>0</v>
      </c>
      <c r="E9" s="3">
        <v>1</v>
      </c>
      <c r="F9" s="3">
        <v>42</v>
      </c>
      <c r="G9" s="3">
        <v>2</v>
      </c>
      <c r="H9" s="3">
        <v>0</v>
      </c>
      <c r="I9" s="3">
        <v>0</v>
      </c>
      <c r="J9" s="3">
        <v>38</v>
      </c>
      <c r="K9" s="3">
        <v>0</v>
      </c>
      <c r="L9" s="3"/>
      <c r="M9" s="3">
        <f>SUM(C9:L9)</f>
        <v>208</v>
      </c>
    </row>
    <row r="10" spans="1:18" ht="13.5" thickTop="1" x14ac:dyDescent="0.2">
      <c r="A10" s="48"/>
      <c r="B10" s="65" t="s">
        <v>14</v>
      </c>
      <c r="C10" s="45">
        <f>SUM(C7:C9)</f>
        <v>157</v>
      </c>
      <c r="D10" s="45">
        <f t="shared" ref="D10:L10" si="0">SUM(D7:D9)</f>
        <v>10</v>
      </c>
      <c r="E10" s="45">
        <f t="shared" si="0"/>
        <v>88</v>
      </c>
      <c r="F10" s="45">
        <f t="shared" si="0"/>
        <v>273</v>
      </c>
      <c r="G10" s="45">
        <f t="shared" si="0"/>
        <v>70</v>
      </c>
      <c r="H10" s="45">
        <f t="shared" si="0"/>
        <v>1</v>
      </c>
      <c r="I10" s="45">
        <f t="shared" si="0"/>
        <v>3</v>
      </c>
      <c r="J10" s="45">
        <f t="shared" si="0"/>
        <v>174</v>
      </c>
      <c r="K10" s="45">
        <f t="shared" si="0"/>
        <v>16</v>
      </c>
      <c r="L10" s="45">
        <f t="shared" si="0"/>
        <v>5</v>
      </c>
      <c r="M10" s="45">
        <f>SUM(C10:L10)</f>
        <v>797</v>
      </c>
    </row>
    <row r="11" spans="1:18" x14ac:dyDescent="0.2">
      <c r="B11" s="1"/>
      <c r="D11" s="2"/>
    </row>
    <row r="12" spans="1:18" x14ac:dyDescent="0.2">
      <c r="A12" s="186" t="s">
        <v>52</v>
      </c>
      <c r="B12" s="186"/>
      <c r="C12" s="40">
        <v>3250</v>
      </c>
      <c r="D12" s="66">
        <v>81</v>
      </c>
      <c r="E12" s="40">
        <v>15792</v>
      </c>
      <c r="F12" s="66">
        <v>11968</v>
      </c>
      <c r="G12" s="66">
        <v>9415</v>
      </c>
      <c r="H12" s="66">
        <v>104</v>
      </c>
      <c r="I12" s="66">
        <v>60</v>
      </c>
      <c r="J12" s="66">
        <v>11083</v>
      </c>
      <c r="K12" s="66">
        <v>1904</v>
      </c>
      <c r="L12" s="66"/>
      <c r="M12" s="158">
        <f>SUM(C12:K12)</f>
        <v>53657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59</v>
      </c>
      <c r="D19" s="36">
        <v>1</v>
      </c>
      <c r="E19" s="36">
        <v>131</v>
      </c>
      <c r="F19" s="4">
        <v>171</v>
      </c>
      <c r="G19" s="4">
        <v>109</v>
      </c>
      <c r="H19" s="4">
        <v>1</v>
      </c>
      <c r="I19" s="4">
        <v>5</v>
      </c>
      <c r="J19" s="4">
        <v>75</v>
      </c>
      <c r="K19" s="4">
        <v>48</v>
      </c>
      <c r="L19" s="43">
        <f>SUM(C19:K19)</f>
        <v>600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17</v>
      </c>
      <c r="F21" s="4">
        <v>16</v>
      </c>
      <c r="G21" s="4">
        <v>19</v>
      </c>
      <c r="H21" s="4">
        <v>1</v>
      </c>
      <c r="I21" s="4">
        <v>0</v>
      </c>
      <c r="J21" s="4">
        <v>28</v>
      </c>
      <c r="K21" s="4">
        <v>0</v>
      </c>
      <c r="L21" s="61">
        <f>SUM(C21:K21)</f>
        <v>82</v>
      </c>
    </row>
    <row r="22" spans="1:13" x14ac:dyDescent="0.2">
      <c r="A22" s="38"/>
      <c r="B22" s="36" t="s">
        <v>10</v>
      </c>
      <c r="C22" s="4">
        <v>1</v>
      </c>
      <c r="D22" s="4">
        <v>3</v>
      </c>
      <c r="E22" s="4">
        <v>12</v>
      </c>
      <c r="F22" s="4">
        <v>56</v>
      </c>
      <c r="G22" s="4">
        <v>18</v>
      </c>
      <c r="H22" s="4">
        <v>1</v>
      </c>
      <c r="I22" s="4">
        <v>2</v>
      </c>
      <c r="J22" s="4">
        <v>29</v>
      </c>
      <c r="K22" s="4">
        <v>5</v>
      </c>
      <c r="L22" s="61">
        <f>SUM(C22:K22)</f>
        <v>127</v>
      </c>
    </row>
    <row r="23" spans="1:13" ht="13.5" thickBot="1" x14ac:dyDescent="0.25">
      <c r="A23" s="38"/>
      <c r="B23" s="36" t="s">
        <v>9</v>
      </c>
      <c r="C23" s="3">
        <v>116</v>
      </c>
      <c r="D23" s="3">
        <v>59</v>
      </c>
      <c r="E23" s="3">
        <v>340</v>
      </c>
      <c r="F23" s="3">
        <v>385</v>
      </c>
      <c r="G23" s="3">
        <v>202</v>
      </c>
      <c r="H23" s="3">
        <v>14</v>
      </c>
      <c r="I23" s="3">
        <v>15</v>
      </c>
      <c r="J23" s="3">
        <v>602</v>
      </c>
      <c r="K23" s="3">
        <v>169</v>
      </c>
      <c r="L23" s="59">
        <f>SUM(C23:K23)</f>
        <v>1902</v>
      </c>
    </row>
    <row r="24" spans="1:13" ht="13.5" thickTop="1" x14ac:dyDescent="0.2">
      <c r="A24" s="38"/>
      <c r="B24" s="60" t="s">
        <v>14</v>
      </c>
      <c r="C24" s="36">
        <f>SUM(C19:C23)</f>
        <v>178</v>
      </c>
      <c r="D24" s="36">
        <f t="shared" ref="D24:L24" si="1">SUM(D19:D23)</f>
        <v>63</v>
      </c>
      <c r="E24" s="36">
        <f t="shared" si="1"/>
        <v>501</v>
      </c>
      <c r="F24" s="36">
        <f t="shared" si="1"/>
        <v>628</v>
      </c>
      <c r="G24" s="36">
        <f t="shared" si="1"/>
        <v>349</v>
      </c>
      <c r="H24" s="36">
        <f t="shared" si="1"/>
        <v>17</v>
      </c>
      <c r="I24" s="36">
        <f t="shared" si="1"/>
        <v>22</v>
      </c>
      <c r="J24" s="36">
        <f t="shared" si="1"/>
        <v>734</v>
      </c>
      <c r="K24" s="36">
        <f t="shared" si="1"/>
        <v>226</v>
      </c>
      <c r="L24" s="43">
        <f t="shared" si="1"/>
        <v>2718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s="1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23.5</v>
      </c>
      <c r="D27" s="87">
        <v>2</v>
      </c>
      <c r="E27" s="87">
        <v>13.5</v>
      </c>
      <c r="F27" s="87">
        <v>51.5</v>
      </c>
      <c r="G27" s="87">
        <v>4</v>
      </c>
      <c r="H27" s="87">
        <v>0</v>
      </c>
      <c r="I27" s="87">
        <v>0</v>
      </c>
      <c r="J27" s="87">
        <v>89.75</v>
      </c>
      <c r="K27" s="87">
        <v>0</v>
      </c>
      <c r="L27" s="87">
        <v>0</v>
      </c>
      <c r="M27" s="87">
        <f>SUM(C27:L27)</f>
        <v>184.25</v>
      </c>
    </row>
    <row r="29" spans="1:13" x14ac:dyDescent="0.2">
      <c r="A29" s="181" t="s">
        <v>66</v>
      </c>
      <c r="B29" s="181"/>
      <c r="C29" s="181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86</v>
      </c>
      <c r="D31" s="36">
        <v>28</v>
      </c>
      <c r="E31" s="36">
        <v>158</v>
      </c>
      <c r="F31" s="4">
        <v>150</v>
      </c>
      <c r="G31" s="4">
        <v>227</v>
      </c>
      <c r="H31" s="4">
        <v>218</v>
      </c>
      <c r="I31" s="4">
        <v>2</v>
      </c>
      <c r="J31" s="4">
        <v>373</v>
      </c>
      <c r="K31" s="4">
        <v>176</v>
      </c>
      <c r="L31" s="4">
        <f t="shared" ref="L31:L36" si="2">SUM(C31:K31)</f>
        <v>1418</v>
      </c>
    </row>
    <row r="32" spans="1:13" x14ac:dyDescent="0.2">
      <c r="B32" s="60" t="s">
        <v>18</v>
      </c>
      <c r="C32" s="36">
        <v>15</v>
      </c>
      <c r="D32" s="36">
        <v>31</v>
      </c>
      <c r="E32" s="36">
        <v>21</v>
      </c>
      <c r="F32" s="4">
        <v>38</v>
      </c>
      <c r="G32" s="4">
        <v>59</v>
      </c>
      <c r="H32" s="4">
        <v>0</v>
      </c>
      <c r="I32" s="4"/>
      <c r="J32" s="4">
        <v>31</v>
      </c>
      <c r="K32" s="4">
        <v>177</v>
      </c>
      <c r="L32" s="4">
        <f t="shared" si="2"/>
        <v>372</v>
      </c>
    </row>
    <row r="33" spans="1:12" x14ac:dyDescent="0.2">
      <c r="B33" s="60" t="s">
        <v>20</v>
      </c>
      <c r="C33" s="36">
        <v>162</v>
      </c>
      <c r="D33" s="36">
        <v>118</v>
      </c>
      <c r="E33" s="36">
        <v>468</v>
      </c>
      <c r="F33" s="36">
        <v>260</v>
      </c>
      <c r="G33" s="4">
        <v>284</v>
      </c>
      <c r="H33" s="4">
        <v>4</v>
      </c>
      <c r="I33" s="36"/>
      <c r="J33" s="4">
        <v>237</v>
      </c>
      <c r="K33" s="36">
        <v>172</v>
      </c>
      <c r="L33" s="4">
        <f t="shared" si="2"/>
        <v>1705</v>
      </c>
    </row>
    <row r="34" spans="1:12" x14ac:dyDescent="0.2">
      <c r="B34" s="60" t="s">
        <v>113</v>
      </c>
      <c r="C34" s="4">
        <v>20</v>
      </c>
      <c r="D34" s="4">
        <v>1</v>
      </c>
      <c r="E34" s="4">
        <v>10</v>
      </c>
      <c r="F34" s="4">
        <v>36</v>
      </c>
      <c r="G34" s="4">
        <v>34</v>
      </c>
      <c r="H34" s="4">
        <v>30</v>
      </c>
      <c r="I34" s="4"/>
      <c r="J34" s="4">
        <f>19+21</f>
        <v>40</v>
      </c>
      <c r="K34" s="4">
        <v>17</v>
      </c>
      <c r="L34" s="4">
        <f t="shared" si="2"/>
        <v>188</v>
      </c>
    </row>
    <row r="35" spans="1:12" ht="13.5" thickBot="1" x14ac:dyDescent="0.25">
      <c r="B35" s="16" t="s">
        <v>19</v>
      </c>
      <c r="C35" s="3">
        <f>SUM(C76)</f>
        <v>1</v>
      </c>
      <c r="D35" s="3">
        <f>SUM(D76)</f>
        <v>4</v>
      </c>
      <c r="E35" s="3">
        <f t="shared" ref="E35:K35" si="3">SUM(E76)</f>
        <v>6</v>
      </c>
      <c r="F35" s="3">
        <f t="shared" si="3"/>
        <v>8</v>
      </c>
      <c r="G35" s="3">
        <f t="shared" si="3"/>
        <v>0</v>
      </c>
      <c r="H35" s="3">
        <f t="shared" si="3"/>
        <v>0</v>
      </c>
      <c r="I35" s="3">
        <f t="shared" si="3"/>
        <v>1</v>
      </c>
      <c r="J35" s="3">
        <f t="shared" si="3"/>
        <v>17</v>
      </c>
      <c r="K35" s="3">
        <f t="shared" si="3"/>
        <v>3</v>
      </c>
      <c r="L35" s="122">
        <f t="shared" si="2"/>
        <v>40</v>
      </c>
    </row>
    <row r="36" spans="1:12" ht="13.5" thickTop="1" x14ac:dyDescent="0.2">
      <c r="B36" s="65" t="s">
        <v>14</v>
      </c>
      <c r="C36" s="45">
        <f t="shared" ref="C36:K36" si="4">SUM(C31:C35)</f>
        <v>284</v>
      </c>
      <c r="D36" s="45">
        <f t="shared" si="4"/>
        <v>182</v>
      </c>
      <c r="E36" s="45">
        <f t="shared" si="4"/>
        <v>663</v>
      </c>
      <c r="F36" s="45">
        <f t="shared" si="4"/>
        <v>492</v>
      </c>
      <c r="G36" s="45">
        <f t="shared" si="4"/>
        <v>604</v>
      </c>
      <c r="H36" s="45">
        <f t="shared" si="4"/>
        <v>252</v>
      </c>
      <c r="I36" s="45">
        <f t="shared" si="4"/>
        <v>3</v>
      </c>
      <c r="J36" s="45">
        <f t="shared" si="4"/>
        <v>698</v>
      </c>
      <c r="K36" s="45">
        <f t="shared" si="4"/>
        <v>545</v>
      </c>
      <c r="L36" s="62">
        <f t="shared" si="2"/>
        <v>3723</v>
      </c>
    </row>
    <row r="38" spans="1:12" x14ac:dyDescent="0.2">
      <c r="A38" s="186" t="s">
        <v>57</v>
      </c>
      <c r="B38" s="187"/>
      <c r="C38" s="40">
        <v>2</v>
      </c>
      <c r="D38" s="40">
        <v>0</v>
      </c>
      <c r="E38" s="40">
        <v>5</v>
      </c>
      <c r="F38" s="66">
        <v>7</v>
      </c>
      <c r="G38" s="66">
        <v>9</v>
      </c>
      <c r="H38" s="66">
        <v>0</v>
      </c>
      <c r="I38" s="66">
        <v>0</v>
      </c>
      <c r="J38" s="66">
        <v>16</v>
      </c>
      <c r="K38" s="66">
        <v>0</v>
      </c>
      <c r="L38" s="66">
        <f>SUM(C38:K38)</f>
        <v>39</v>
      </c>
    </row>
    <row r="39" spans="1:12" ht="13.5" thickBot="1" x14ac:dyDescent="0.25">
      <c r="A39" s="190" t="s">
        <v>158</v>
      </c>
      <c r="B39" s="191"/>
      <c r="C39" s="3">
        <v>0</v>
      </c>
      <c r="D39" s="3"/>
      <c r="E39" s="3">
        <v>2</v>
      </c>
      <c r="F39" s="3">
        <v>6</v>
      </c>
      <c r="G39" s="3">
        <v>16</v>
      </c>
      <c r="H39" s="3">
        <v>0</v>
      </c>
      <c r="I39" s="3"/>
      <c r="J39" s="3">
        <v>222</v>
      </c>
      <c r="K39" s="3">
        <v>0</v>
      </c>
      <c r="L39" s="122">
        <f>SUM(C39:K39)</f>
        <v>246</v>
      </c>
    </row>
    <row r="40" spans="1:12" ht="13.5" thickTop="1" x14ac:dyDescent="0.2">
      <c r="A40" s="71"/>
      <c r="B40" s="60" t="s">
        <v>7</v>
      </c>
      <c r="C40" s="36">
        <f>SUM(C38:C39)</f>
        <v>2</v>
      </c>
      <c r="D40" s="36">
        <f t="shared" ref="D40:K40" si="5">SUM(D38:D39)</f>
        <v>0</v>
      </c>
      <c r="E40" s="36">
        <f t="shared" si="5"/>
        <v>7</v>
      </c>
      <c r="F40" s="36">
        <f t="shared" si="5"/>
        <v>13</v>
      </c>
      <c r="G40" s="36">
        <f t="shared" si="5"/>
        <v>25</v>
      </c>
      <c r="H40" s="36">
        <f t="shared" si="5"/>
        <v>0</v>
      </c>
      <c r="I40" s="36">
        <f t="shared" si="5"/>
        <v>0</v>
      </c>
      <c r="J40" s="36">
        <f t="shared" si="5"/>
        <v>238</v>
      </c>
      <c r="K40" s="36">
        <f t="shared" si="5"/>
        <v>0</v>
      </c>
      <c r="L40" s="128">
        <f>SUM(L38:L39)</f>
        <v>285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1" t="s">
        <v>56</v>
      </c>
      <c r="B42" s="188"/>
      <c r="C42" s="45"/>
      <c r="D42" s="45"/>
      <c r="E42" s="45">
        <v>0</v>
      </c>
      <c r="F42" s="68"/>
      <c r="G42" s="68">
        <v>0</v>
      </c>
      <c r="H42" s="68">
        <v>0</v>
      </c>
      <c r="I42" s="68"/>
      <c r="J42" s="68">
        <v>3</v>
      </c>
      <c r="K42" s="68">
        <v>0</v>
      </c>
      <c r="L42" s="68">
        <f>SUM(C42:K42)</f>
        <v>3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4</v>
      </c>
      <c r="K44" s="40">
        <v>0</v>
      </c>
      <c r="L44" s="40">
        <f>SUM(C44:K44)</f>
        <v>4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53</v>
      </c>
      <c r="K45" s="45">
        <v>0</v>
      </c>
      <c r="L45" s="45">
        <f>SUM(C45:K45)</f>
        <v>53</v>
      </c>
    </row>
    <row r="46" spans="1:12" x14ac:dyDescent="0.2">
      <c r="A46" s="38"/>
    </row>
    <row r="47" spans="1:12" x14ac:dyDescent="0.2">
      <c r="A47" s="200" t="s">
        <v>240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/>
      <c r="D49" s="36"/>
      <c r="E49" s="36"/>
      <c r="F49" s="4"/>
      <c r="G49" s="4"/>
      <c r="H49" s="4"/>
      <c r="I49" s="4"/>
      <c r="J49" s="4"/>
      <c r="K49" s="4"/>
      <c r="L49" s="4">
        <f t="shared" ref="L49:L76" si="6">SUM(C49:K49)</f>
        <v>0</v>
      </c>
    </row>
    <row r="50" spans="2:12" x14ac:dyDescent="0.2">
      <c r="B50" s="42" t="s">
        <v>119</v>
      </c>
      <c r="C50" s="36"/>
      <c r="D50" s="36"/>
      <c r="E50" s="4"/>
      <c r="F50" s="36"/>
      <c r="G50" s="36"/>
      <c r="H50" s="36"/>
      <c r="I50" s="36"/>
      <c r="J50" s="36"/>
      <c r="K50" s="36"/>
      <c r="L50" s="4">
        <f t="shared" si="6"/>
        <v>0</v>
      </c>
    </row>
    <row r="51" spans="2:12" x14ac:dyDescent="0.2">
      <c r="B51" s="42" t="s">
        <v>108</v>
      </c>
      <c r="C51" s="36"/>
      <c r="D51" s="36"/>
      <c r="E51" s="36"/>
      <c r="F51" s="36"/>
      <c r="G51" s="36"/>
      <c r="H51" s="4"/>
      <c r="I51" s="36"/>
      <c r="J51" s="4"/>
      <c r="K51" s="4"/>
      <c r="L51" s="4">
        <f t="shared" si="6"/>
        <v>0</v>
      </c>
    </row>
    <row r="52" spans="2:12" x14ac:dyDescent="0.2">
      <c r="B52" s="42" t="s">
        <v>144</v>
      </c>
      <c r="C52" s="36"/>
      <c r="D52" s="36"/>
      <c r="E52" s="36"/>
      <c r="F52" s="36"/>
      <c r="G52" s="36"/>
      <c r="H52" s="36"/>
      <c r="I52" s="36"/>
      <c r="J52" s="4"/>
      <c r="K52" s="4"/>
      <c r="L52" s="4">
        <f t="shared" si="6"/>
        <v>0</v>
      </c>
    </row>
    <row r="53" spans="2:12" x14ac:dyDescent="0.2">
      <c r="B53" s="42" t="s">
        <v>159</v>
      </c>
      <c r="C53" s="4"/>
      <c r="D53" s="36"/>
      <c r="E53" s="36"/>
      <c r="F53" s="36"/>
      <c r="G53" s="36"/>
      <c r="H53" s="36"/>
      <c r="I53" s="36"/>
      <c r="J53" s="4"/>
      <c r="K53" s="4"/>
      <c r="L53" s="4">
        <f t="shared" si="6"/>
        <v>0</v>
      </c>
    </row>
    <row r="54" spans="2:12" x14ac:dyDescent="0.2">
      <c r="B54" s="42" t="s">
        <v>109</v>
      </c>
      <c r="C54" s="4"/>
      <c r="D54" s="36"/>
      <c r="E54" s="4"/>
      <c r="F54" s="4"/>
      <c r="G54" s="36"/>
      <c r="H54" s="36"/>
      <c r="I54" s="36"/>
      <c r="J54" s="4"/>
      <c r="K54" s="36"/>
      <c r="L54" s="4">
        <f t="shared" si="6"/>
        <v>0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4">
        <f>SUM(C55:K55)</f>
        <v>0</v>
      </c>
    </row>
    <row r="56" spans="2:12" x14ac:dyDescent="0.2">
      <c r="B56" s="42" t="s">
        <v>93</v>
      </c>
      <c r="C56" s="36"/>
      <c r="D56" s="36"/>
      <c r="E56" s="4"/>
      <c r="F56" s="4"/>
      <c r="G56" s="4"/>
      <c r="H56" s="4"/>
      <c r="I56" s="4"/>
      <c r="J56" s="4"/>
      <c r="K56" s="4"/>
      <c r="L56" s="4">
        <f t="shared" ref="L56:L72" si="7">SUM(C56:K56)</f>
        <v>0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36"/>
      <c r="K57" s="4"/>
      <c r="L57" s="4">
        <f t="shared" si="7"/>
        <v>0</v>
      </c>
    </row>
    <row r="58" spans="2:12" x14ac:dyDescent="0.2">
      <c r="B58" s="42" t="s">
        <v>107</v>
      </c>
      <c r="C58" s="36"/>
      <c r="D58" s="36"/>
      <c r="E58" s="4"/>
      <c r="F58" s="4"/>
      <c r="G58" s="4"/>
      <c r="H58" s="4"/>
      <c r="I58" s="36"/>
      <c r="J58" s="4"/>
      <c r="K58" s="4"/>
      <c r="L58" s="4">
        <f t="shared" si="7"/>
        <v>0</v>
      </c>
    </row>
    <row r="59" spans="2:12" x14ac:dyDescent="0.2">
      <c r="B59" s="42" t="s">
        <v>110</v>
      </c>
      <c r="C59" s="36"/>
      <c r="D59" s="36"/>
      <c r="E59" s="4"/>
      <c r="F59" s="4"/>
      <c r="G59" s="4"/>
      <c r="H59" s="4"/>
      <c r="I59" s="36"/>
      <c r="J59" s="4"/>
      <c r="K59" s="4"/>
      <c r="L59" s="4">
        <f t="shared" si="7"/>
        <v>0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/>
      <c r="J60" s="4"/>
      <c r="K60" s="4"/>
      <c r="L60" s="4">
        <f t="shared" si="7"/>
        <v>0</v>
      </c>
    </row>
    <row r="61" spans="2:12" x14ac:dyDescent="0.2">
      <c r="B61" s="38" t="s">
        <v>42</v>
      </c>
      <c r="C61" s="36"/>
      <c r="D61" s="36"/>
      <c r="E61" s="4"/>
      <c r="F61" s="4"/>
      <c r="G61" s="4"/>
      <c r="H61" s="4"/>
      <c r="I61" s="4"/>
      <c r="J61" s="4"/>
      <c r="K61" s="4"/>
      <c r="L61" s="4">
        <f t="shared" si="7"/>
        <v>0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4">
        <f t="shared" si="7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7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7"/>
        <v>0</v>
      </c>
    </row>
    <row r="65" spans="1:13" x14ac:dyDescent="0.2">
      <c r="B65" s="42" t="s">
        <v>163</v>
      </c>
      <c r="C65" s="36"/>
      <c r="D65" s="36"/>
      <c r="E65" s="36">
        <v>1</v>
      </c>
      <c r="F65" s="36">
        <v>1</v>
      </c>
      <c r="G65" s="4"/>
      <c r="H65" s="4"/>
      <c r="I65" s="4"/>
      <c r="J65" s="4"/>
      <c r="K65" s="4"/>
      <c r="L65" s="4">
        <f t="shared" si="7"/>
        <v>2</v>
      </c>
    </row>
    <row r="66" spans="1:13" x14ac:dyDescent="0.2">
      <c r="B66" s="38" t="s">
        <v>83</v>
      </c>
      <c r="C66" s="4">
        <v>1</v>
      </c>
      <c r="D66" s="4">
        <v>3</v>
      </c>
      <c r="E66" s="4">
        <v>4</v>
      </c>
      <c r="F66" s="4"/>
      <c r="G66" s="4"/>
      <c r="H66" s="4"/>
      <c r="I66" s="4">
        <v>1</v>
      </c>
      <c r="J66" s="4">
        <v>13</v>
      </c>
      <c r="K66" s="4">
        <v>3</v>
      </c>
      <c r="L66" s="4">
        <f t="shared" si="7"/>
        <v>25</v>
      </c>
    </row>
    <row r="67" spans="1:13" x14ac:dyDescent="0.2">
      <c r="B67" s="42" t="s">
        <v>161</v>
      </c>
      <c r="C67" s="4"/>
      <c r="D67" s="4"/>
      <c r="E67" s="4"/>
      <c r="F67" s="4">
        <v>5</v>
      </c>
      <c r="G67" s="4"/>
      <c r="H67" s="4"/>
      <c r="I67" s="4"/>
      <c r="J67" s="4"/>
      <c r="K67" s="4"/>
      <c r="L67" s="4">
        <f t="shared" si="7"/>
        <v>5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7"/>
        <v>0</v>
      </c>
    </row>
    <row r="69" spans="1:13" x14ac:dyDescent="0.2">
      <c r="B69" s="42" t="s">
        <v>94</v>
      </c>
      <c r="C69" s="4"/>
      <c r="D69" s="36"/>
      <c r="E69" s="4"/>
      <c r="F69" s="4"/>
      <c r="G69" s="4"/>
      <c r="H69" s="4"/>
      <c r="I69" s="4"/>
      <c r="J69" s="4"/>
      <c r="K69" s="4"/>
      <c r="L69" s="4">
        <f t="shared" si="7"/>
        <v>0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7"/>
        <v>0</v>
      </c>
    </row>
    <row r="71" spans="1:13" x14ac:dyDescent="0.2">
      <c r="B71" s="42" t="s">
        <v>44</v>
      </c>
      <c r="C71" s="4"/>
      <c r="D71" s="36"/>
      <c r="E71" s="4">
        <v>1</v>
      </c>
      <c r="F71" s="4"/>
      <c r="G71" s="4"/>
      <c r="H71" s="4"/>
      <c r="I71" s="4"/>
      <c r="J71" s="4"/>
      <c r="K71" s="4"/>
      <c r="L71" s="4">
        <f t="shared" si="7"/>
        <v>1</v>
      </c>
    </row>
    <row r="72" spans="1:13" x14ac:dyDescent="0.2">
      <c r="B72" s="42" t="s">
        <v>43</v>
      </c>
      <c r="C72" s="36"/>
      <c r="D72" s="36"/>
      <c r="E72" s="36"/>
      <c r="F72" s="4"/>
      <c r="G72" s="4"/>
      <c r="H72" s="4"/>
      <c r="I72" s="4"/>
      <c r="J72" s="36"/>
      <c r="K72" s="4"/>
      <c r="L72" s="4">
        <f t="shared" si="7"/>
        <v>0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4">
        <f t="shared" si="6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36"/>
      <c r="K74" s="4"/>
      <c r="L74" s="4">
        <f t="shared" si="6"/>
        <v>0</v>
      </c>
    </row>
    <row r="75" spans="1:13" ht="13.5" thickBot="1" x14ac:dyDescent="0.25">
      <c r="B75" s="80" t="s">
        <v>67</v>
      </c>
      <c r="C75" s="3"/>
      <c r="D75" s="3">
        <v>1</v>
      </c>
      <c r="E75" s="3"/>
      <c r="F75" s="3">
        <v>2</v>
      </c>
      <c r="G75" s="3"/>
      <c r="H75" s="3"/>
      <c r="I75" s="3"/>
      <c r="J75" s="3">
        <v>4</v>
      </c>
      <c r="K75" s="3"/>
      <c r="L75" s="122">
        <f t="shared" si="6"/>
        <v>7</v>
      </c>
    </row>
    <row r="76" spans="1:13" ht="13.5" thickTop="1" x14ac:dyDescent="0.2">
      <c r="B76" s="69" t="s">
        <v>7</v>
      </c>
      <c r="C76" s="45">
        <f t="shared" ref="C76:K76" si="8">SUM(C49:C75)</f>
        <v>1</v>
      </c>
      <c r="D76" s="45">
        <f t="shared" si="8"/>
        <v>4</v>
      </c>
      <c r="E76" s="45">
        <f t="shared" si="8"/>
        <v>6</v>
      </c>
      <c r="F76" s="45">
        <f t="shared" si="8"/>
        <v>8</v>
      </c>
      <c r="G76" s="45">
        <f t="shared" si="8"/>
        <v>0</v>
      </c>
      <c r="H76" s="45">
        <f t="shared" si="8"/>
        <v>0</v>
      </c>
      <c r="I76" s="45">
        <f t="shared" si="8"/>
        <v>1</v>
      </c>
      <c r="J76" s="45">
        <f t="shared" si="8"/>
        <v>17</v>
      </c>
      <c r="K76" s="45">
        <f t="shared" si="8"/>
        <v>3</v>
      </c>
      <c r="L76" s="123">
        <f t="shared" si="6"/>
        <v>40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186"/>
      <c r="M78" s="6"/>
    </row>
    <row r="79" spans="1:13" x14ac:dyDescent="0.2">
      <c r="A79" s="94" t="s">
        <v>123</v>
      </c>
      <c r="C79" s="43">
        <v>2</v>
      </c>
      <c r="D79" s="6"/>
      <c r="E79" s="38" t="s">
        <v>9</v>
      </c>
      <c r="F79" s="36"/>
      <c r="G79" s="43">
        <v>237</v>
      </c>
      <c r="I79" s="42" t="s">
        <v>133</v>
      </c>
      <c r="J79" s="36"/>
      <c r="K79" s="36"/>
      <c r="L79" s="43">
        <v>275</v>
      </c>
      <c r="M79" s="6"/>
    </row>
    <row r="80" spans="1:13" x14ac:dyDescent="0.2">
      <c r="A80" s="42" t="s">
        <v>29</v>
      </c>
      <c r="B80" s="36"/>
      <c r="C80" s="43">
        <v>3</v>
      </c>
      <c r="D80" s="6"/>
      <c r="E80" s="38" t="s">
        <v>10</v>
      </c>
      <c r="F80" s="36"/>
      <c r="G80" s="43">
        <v>118</v>
      </c>
      <c r="I80" s="42" t="s">
        <v>134</v>
      </c>
      <c r="J80" s="36"/>
      <c r="K80" s="36"/>
      <c r="L80" s="43">
        <v>50</v>
      </c>
      <c r="M80" s="6"/>
    </row>
    <row r="81" spans="1:13" x14ac:dyDescent="0.2">
      <c r="A81" s="42" t="s">
        <v>124</v>
      </c>
      <c r="B81" s="36"/>
      <c r="C81" s="43">
        <v>32</v>
      </c>
      <c r="D81" s="6"/>
      <c r="E81" s="38" t="s">
        <v>11</v>
      </c>
      <c r="F81" s="36"/>
      <c r="G81" s="43">
        <v>26</v>
      </c>
      <c r="I81" s="42" t="s">
        <v>46</v>
      </c>
      <c r="J81" s="36"/>
      <c r="K81" s="36"/>
      <c r="L81" s="43">
        <v>18</v>
      </c>
      <c r="M81" s="6"/>
    </row>
    <row r="82" spans="1:13" x14ac:dyDescent="0.2">
      <c r="A82" s="42" t="s">
        <v>125</v>
      </c>
      <c r="B82" s="57"/>
      <c r="C82" s="43">
        <v>224</v>
      </c>
      <c r="D82" s="6"/>
      <c r="E82" s="38" t="s">
        <v>38</v>
      </c>
      <c r="F82" s="36"/>
      <c r="G82" s="43">
        <v>80</v>
      </c>
      <c r="I82" s="42" t="s">
        <v>47</v>
      </c>
      <c r="J82" s="36"/>
      <c r="K82" s="36"/>
      <c r="L82" s="43">
        <v>10</v>
      </c>
      <c r="M82" s="6"/>
    </row>
    <row r="83" spans="1:13" x14ac:dyDescent="0.2">
      <c r="A83" s="42" t="s">
        <v>106</v>
      </c>
      <c r="B83" s="57"/>
      <c r="C83" s="43">
        <v>39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11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16</v>
      </c>
    </row>
    <row r="86" spans="1:13" x14ac:dyDescent="0.2">
      <c r="A86" s="42" t="s">
        <v>126</v>
      </c>
      <c r="B86" s="36"/>
      <c r="C86" s="43">
        <v>0</v>
      </c>
      <c r="E86" s="186" t="s">
        <v>31</v>
      </c>
      <c r="F86" s="193"/>
      <c r="G86" s="194"/>
      <c r="H86" s="186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57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31</v>
      </c>
    </row>
    <row r="89" spans="1:13" x14ac:dyDescent="0.2">
      <c r="A89" s="104" t="s">
        <v>18</v>
      </c>
      <c r="C89" s="61">
        <v>7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v>609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70</v>
      </c>
      <c r="C95" s="19"/>
      <c r="D95" s="19">
        <v>481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/>
      <c r="E96" s="17"/>
      <c r="F96" t="s">
        <v>416</v>
      </c>
      <c r="H96" s="1"/>
      <c r="I96" s="71" t="s">
        <v>139</v>
      </c>
      <c r="J96" s="60"/>
      <c r="L96">
        <v>54</v>
      </c>
      <c r="M96" s="43"/>
    </row>
    <row r="97" spans="1:13" x14ac:dyDescent="0.2">
      <c r="A97" s="1"/>
      <c r="B97" s="17" t="s">
        <v>147</v>
      </c>
      <c r="C97" s="17"/>
      <c r="D97" s="17">
        <v>43</v>
      </c>
      <c r="E97" s="17">
        <v>24</v>
      </c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132">
        <v>203</v>
      </c>
      <c r="E98" s="22"/>
      <c r="I98" s="71" t="s">
        <v>154</v>
      </c>
      <c r="J98" s="60"/>
      <c r="K98" s="60"/>
      <c r="L98" s="57">
        <v>4</v>
      </c>
      <c r="M98" s="74"/>
    </row>
    <row r="99" spans="1:13" x14ac:dyDescent="0.2">
      <c r="B99" s="37" t="s">
        <v>151</v>
      </c>
      <c r="C99" s="22"/>
      <c r="D99" s="22">
        <v>5</v>
      </c>
      <c r="E99" s="22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43</v>
      </c>
      <c r="E100" s="22"/>
      <c r="H100" s="1"/>
      <c r="I100" s="69"/>
      <c r="J100" s="65"/>
      <c r="K100" s="98"/>
      <c r="L100" s="98"/>
      <c r="M100" s="99"/>
    </row>
    <row r="101" spans="1:13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37"/>
      <c r="H102" s="1"/>
      <c r="I102" s="199" t="s">
        <v>112</v>
      </c>
      <c r="J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530</v>
      </c>
      <c r="E103" s="37"/>
      <c r="I103" s="102" t="s">
        <v>116</v>
      </c>
      <c r="J103" s="40"/>
      <c r="K103" s="103">
        <v>1045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131</v>
      </c>
      <c r="E104" s="37"/>
      <c r="I104" s="104" t="s">
        <v>101</v>
      </c>
      <c r="J104" s="4"/>
      <c r="K104" s="105">
        <v>117</v>
      </c>
      <c r="L104" s="93"/>
      <c r="M104" s="93"/>
    </row>
    <row r="105" spans="1:13" x14ac:dyDescent="0.2">
      <c r="B105" s="21" t="s">
        <v>99</v>
      </c>
      <c r="C105" s="21"/>
      <c r="D105" s="20">
        <v>58</v>
      </c>
      <c r="E105" s="20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39"/>
      <c r="E107" s="17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21"/>
      <c r="I108" s="110" t="s">
        <v>23</v>
      </c>
      <c r="J108" s="101"/>
      <c r="K108" s="36">
        <v>4</v>
      </c>
      <c r="L108" s="36">
        <v>0</v>
      </c>
      <c r="M108" s="109">
        <v>4</v>
      </c>
    </row>
    <row r="109" spans="1:13" x14ac:dyDescent="0.2">
      <c r="A109" s="1" t="s">
        <v>77</v>
      </c>
      <c r="B109" s="20" t="s">
        <v>82</v>
      </c>
      <c r="C109" s="20"/>
      <c r="D109" s="17">
        <v>1</v>
      </c>
      <c r="E109" s="17">
        <v>90</v>
      </c>
      <c r="I109" s="110" t="s">
        <v>24</v>
      </c>
      <c r="J109" s="101"/>
      <c r="K109" s="36">
        <v>36</v>
      </c>
      <c r="L109" s="36">
        <v>1</v>
      </c>
      <c r="M109" s="109">
        <v>37</v>
      </c>
    </row>
    <row r="110" spans="1:13" x14ac:dyDescent="0.2">
      <c r="A110" s="1"/>
      <c r="B110" s="115" t="s">
        <v>153</v>
      </c>
      <c r="D110" s="20">
        <v>0</v>
      </c>
      <c r="E110" s="20"/>
      <c r="I110" s="110" t="s">
        <v>156</v>
      </c>
      <c r="J110" s="101"/>
      <c r="K110" s="36">
        <v>0</v>
      </c>
      <c r="L110" s="36">
        <v>0</v>
      </c>
      <c r="M110" s="109">
        <v>0</v>
      </c>
    </row>
    <row r="111" spans="1:13" x14ac:dyDescent="0.2">
      <c r="A111" s="1"/>
      <c r="B111" s="39" t="s">
        <v>182</v>
      </c>
      <c r="C111" s="20"/>
      <c r="D111" s="116">
        <v>136</v>
      </c>
      <c r="E111" s="20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116">
        <v>10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67</v>
      </c>
      <c r="E113" s="20"/>
      <c r="I113" s="253" t="s">
        <v>111</v>
      </c>
      <c r="J113" s="253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116">
        <v>5</v>
      </c>
      <c r="E114" s="20"/>
      <c r="I114" s="253" t="s">
        <v>143</v>
      </c>
      <c r="J114" s="253"/>
      <c r="K114" s="121">
        <v>5</v>
      </c>
      <c r="L114" s="94" t="s">
        <v>145</v>
      </c>
      <c r="M114" s="101"/>
    </row>
    <row r="115" spans="1:13" x14ac:dyDescent="0.2">
      <c r="D115">
        <f>SUM(D95:D114)</f>
        <v>1713</v>
      </c>
      <c r="E115">
        <f>SUM(E95:E114)</f>
        <v>114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7"/>
      <c r="D117" s="127"/>
      <c r="E117" s="126"/>
      <c r="F117" s="127"/>
    </row>
    <row r="118" spans="1:13" x14ac:dyDescent="0.2">
      <c r="A118" s="181" t="s">
        <v>58</v>
      </c>
      <c r="B118" s="259"/>
      <c r="C118" s="45"/>
      <c r="D118" s="45"/>
    </row>
    <row r="119" spans="1:13" x14ac:dyDescent="0.2">
      <c r="A119" s="47"/>
      <c r="B119" s="70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A120" s="38"/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48721</v>
      </c>
      <c r="C122" s="36">
        <f>96+42+23</f>
        <v>161</v>
      </c>
      <c r="D122" s="36">
        <v>1479</v>
      </c>
      <c r="E122" s="4">
        <f>4+44+2+14+8+86+29+30+3+67+32+1</f>
        <v>320</v>
      </c>
      <c r="F122" s="4">
        <f>55+3+20+4+2+1+5+4+5+2+38+15+11+4+71+3+4+2+9+10+2+6+19+15+4+8+1+15+2+24+7+1+7+3+12+13+9+3+24+3+3+1+2+3+2</f>
        <v>457</v>
      </c>
      <c r="G122" s="36">
        <v>1068</v>
      </c>
      <c r="H122" s="4">
        <f>6+189+1532</f>
        <v>1727</v>
      </c>
      <c r="I122" s="4">
        <v>94</v>
      </c>
      <c r="J122" s="36">
        <f>33+2</f>
        <v>35</v>
      </c>
      <c r="K122" s="36">
        <v>10418</v>
      </c>
      <c r="L122" s="36">
        <v>633</v>
      </c>
      <c r="M122" s="43">
        <f>SUM(B122:L122)</f>
        <v>65113</v>
      </c>
    </row>
    <row r="123" spans="1:13" x14ac:dyDescent="0.2">
      <c r="A123" s="38"/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36"/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107</v>
      </c>
      <c r="F126" s="186" t="s">
        <v>49</v>
      </c>
      <c r="G126" s="187"/>
      <c r="H126" s="75">
        <v>1</v>
      </c>
      <c r="J126" s="186" t="s">
        <v>75</v>
      </c>
      <c r="K126" s="187"/>
      <c r="L126" s="186"/>
      <c r="M126" s="41">
        <v>11</v>
      </c>
    </row>
    <row r="127" spans="1:13" x14ac:dyDescent="0.2">
      <c r="A127" s="203" t="s">
        <v>84</v>
      </c>
      <c r="B127" s="200"/>
      <c r="C127" s="49">
        <v>281</v>
      </c>
      <c r="F127" s="190" t="s">
        <v>50</v>
      </c>
      <c r="G127" s="191"/>
      <c r="H127" s="76">
        <v>0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526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1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74" t="s">
        <v>14</v>
      </c>
    </row>
    <row r="132" spans="1:13" x14ac:dyDescent="0.2">
      <c r="A132" s="38"/>
      <c r="B132" s="60" t="s">
        <v>195</v>
      </c>
      <c r="C132" s="36">
        <v>115</v>
      </c>
      <c r="D132" s="36">
        <v>66</v>
      </c>
      <c r="E132" s="36">
        <v>509</v>
      </c>
      <c r="F132" s="4">
        <v>378</v>
      </c>
      <c r="G132" s="4">
        <v>165</v>
      </c>
      <c r="H132" s="4">
        <v>13</v>
      </c>
      <c r="I132" s="4">
        <v>66</v>
      </c>
      <c r="J132" s="4">
        <v>221</v>
      </c>
      <c r="K132" s="4">
        <v>540</v>
      </c>
      <c r="L132" s="61">
        <f>SUM(C132:K132)</f>
        <v>2073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4" t="s">
        <v>181</v>
      </c>
      <c r="F133" s="134">
        <v>189</v>
      </c>
      <c r="G133" s="134" t="s">
        <v>181</v>
      </c>
      <c r="H133" s="134" t="s">
        <v>181</v>
      </c>
      <c r="I133" s="134" t="s">
        <v>181</v>
      </c>
      <c r="J133" s="134">
        <v>170</v>
      </c>
      <c r="K133" s="134" t="s">
        <v>181</v>
      </c>
      <c r="L133" s="61">
        <f>SUM(C133:K133)</f>
        <v>359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10</v>
      </c>
      <c r="E134" s="208">
        <v>0</v>
      </c>
      <c r="F134" s="208">
        <v>5</v>
      </c>
      <c r="G134" s="208">
        <v>0</v>
      </c>
      <c r="H134" s="208">
        <v>0</v>
      </c>
      <c r="I134" s="208" t="s">
        <v>181</v>
      </c>
      <c r="J134" s="208">
        <v>1</v>
      </c>
      <c r="K134" s="208">
        <v>0</v>
      </c>
      <c r="L134" s="160">
        <f>SUM(C134:K134)</f>
        <v>16</v>
      </c>
    </row>
    <row r="135" spans="1:13" ht="13.5" thickTop="1" x14ac:dyDescent="0.2">
      <c r="A135" s="38"/>
      <c r="B135" s="60" t="s">
        <v>14</v>
      </c>
      <c r="C135" s="36">
        <f>SUM(C132:C134)</f>
        <v>115</v>
      </c>
      <c r="D135" s="36">
        <f>SUM(D132:D134)</f>
        <v>76</v>
      </c>
      <c r="E135" s="36">
        <f t="shared" ref="E135:L135" si="9">SUM(E132:E134)</f>
        <v>509</v>
      </c>
      <c r="F135" s="36">
        <f t="shared" si="9"/>
        <v>572</v>
      </c>
      <c r="G135" s="36">
        <f t="shared" si="9"/>
        <v>165</v>
      </c>
      <c r="H135" s="36">
        <f t="shared" si="9"/>
        <v>13</v>
      </c>
      <c r="I135" s="36">
        <f t="shared" si="9"/>
        <v>66</v>
      </c>
      <c r="J135" s="36">
        <f t="shared" si="9"/>
        <v>392</v>
      </c>
      <c r="K135" s="36">
        <f t="shared" si="9"/>
        <v>540</v>
      </c>
      <c r="L135" s="49">
        <f t="shared" si="9"/>
        <v>2448</v>
      </c>
    </row>
    <row r="136" spans="1:13" x14ac:dyDescent="0.2">
      <c r="A136" s="38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74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6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245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392</v>
      </c>
      <c r="B141" s="27"/>
      <c r="C141" s="27"/>
      <c r="D141" s="27"/>
      <c r="E141" s="27"/>
      <c r="F141" s="28"/>
      <c r="G141" s="163" t="s">
        <v>378</v>
      </c>
      <c r="H141" s="29"/>
      <c r="I141" s="82"/>
      <c r="J141" s="83"/>
      <c r="K141" s="84"/>
      <c r="L141" s="84"/>
      <c r="M141" s="119"/>
    </row>
    <row r="142" spans="1:13" ht="18" x14ac:dyDescent="0.25">
      <c r="A142" s="161" t="s">
        <v>402</v>
      </c>
      <c r="B142" s="27"/>
      <c r="C142" s="27"/>
      <c r="D142" s="27"/>
      <c r="E142" s="27"/>
      <c r="F142" s="28"/>
      <c r="G142" s="163" t="s">
        <v>379</v>
      </c>
      <c r="H142" s="29"/>
      <c r="I142" s="82"/>
      <c r="J142" s="83"/>
      <c r="K142" s="84"/>
      <c r="L142" s="84"/>
      <c r="M142" s="119"/>
    </row>
    <row r="143" spans="1:13" x14ac:dyDescent="0.2">
      <c r="B143" s="27"/>
      <c r="C143" s="27"/>
      <c r="D143" s="27"/>
      <c r="E143" s="27"/>
      <c r="F143" s="82"/>
      <c r="G143" s="248" t="s">
        <v>403</v>
      </c>
      <c r="H143" s="82"/>
      <c r="I143" s="82"/>
      <c r="J143" s="82"/>
      <c r="K143" s="85"/>
      <c r="L143" s="85"/>
      <c r="M143" s="86"/>
    </row>
    <row r="144" spans="1:13" x14ac:dyDescent="0.2">
      <c r="A144" s="34" t="s">
        <v>164</v>
      </c>
      <c r="B144" s="27"/>
      <c r="C144" s="27"/>
      <c r="D144" s="27"/>
      <c r="E144" s="27"/>
      <c r="F144" s="28"/>
      <c r="G144" s="82"/>
      <c r="H144" s="82"/>
      <c r="I144" s="82"/>
      <c r="J144" s="82"/>
      <c r="K144" s="85"/>
      <c r="L144" s="85"/>
      <c r="M144" s="86"/>
    </row>
    <row r="145" spans="1:13" x14ac:dyDescent="0.2">
      <c r="A145" s="161" t="s">
        <v>387</v>
      </c>
      <c r="G145" s="35" t="s">
        <v>168</v>
      </c>
      <c r="M145" s="43"/>
    </row>
    <row r="146" spans="1:13" ht="18" x14ac:dyDescent="0.25">
      <c r="A146" s="168" t="s">
        <v>377</v>
      </c>
      <c r="B146" s="89"/>
      <c r="C146" s="27"/>
      <c r="D146" s="27"/>
      <c r="E146" s="27"/>
      <c r="F146" s="82"/>
      <c r="G146" s="163" t="s">
        <v>375</v>
      </c>
      <c r="H146" s="82"/>
      <c r="I146" s="29"/>
      <c r="J146" s="55"/>
      <c r="K146" s="27"/>
      <c r="L146" s="27"/>
      <c r="M146" s="30"/>
    </row>
    <row r="147" spans="1:13" ht="18" x14ac:dyDescent="0.25">
      <c r="A147" s="161" t="s">
        <v>395</v>
      </c>
      <c r="B147" s="27"/>
      <c r="C147" s="27"/>
      <c r="D147" s="27"/>
      <c r="E147" s="27"/>
      <c r="F147" s="82"/>
      <c r="G147" s="163" t="s">
        <v>390</v>
      </c>
      <c r="H147" s="29"/>
      <c r="I147" s="82"/>
      <c r="J147" s="82"/>
      <c r="K147" s="27"/>
      <c r="L147" s="27"/>
      <c r="M147" s="30"/>
    </row>
    <row r="148" spans="1:13" ht="18" x14ac:dyDescent="0.25">
      <c r="A148" s="161" t="s">
        <v>385</v>
      </c>
      <c r="B148" s="89"/>
      <c r="C148" s="27"/>
      <c r="D148" s="27"/>
      <c r="E148" s="27"/>
      <c r="F148" s="27"/>
      <c r="G148" s="163" t="s">
        <v>391</v>
      </c>
      <c r="H148" s="29"/>
      <c r="I148" s="29"/>
      <c r="J148" s="29"/>
      <c r="K148" s="29"/>
      <c r="L148" s="27"/>
      <c r="M148" s="30"/>
    </row>
    <row r="149" spans="1:13" x14ac:dyDescent="0.2">
      <c r="A149" s="161" t="s">
        <v>386</v>
      </c>
      <c r="B149" s="35"/>
      <c r="C149" s="35"/>
      <c r="D149" s="27"/>
      <c r="E149" s="35"/>
      <c r="F149" s="92"/>
      <c r="G149" s="163" t="s">
        <v>393</v>
      </c>
      <c r="I149" s="82"/>
      <c r="J149" s="82"/>
      <c r="K149" s="27"/>
      <c r="L149" s="27"/>
      <c r="M149" s="30"/>
    </row>
    <row r="150" spans="1:13" x14ac:dyDescent="0.2">
      <c r="A150" s="168" t="s">
        <v>397</v>
      </c>
      <c r="B150" s="27"/>
      <c r="C150" s="27"/>
      <c r="D150" s="27"/>
      <c r="E150" s="27"/>
      <c r="F150" s="92"/>
      <c r="I150" s="82"/>
      <c r="J150" s="82"/>
      <c r="K150" s="27"/>
      <c r="L150" s="27"/>
      <c r="M150" s="30"/>
    </row>
    <row r="151" spans="1:13" ht="18" x14ac:dyDescent="0.25">
      <c r="A151" s="161" t="s">
        <v>388</v>
      </c>
      <c r="B151" s="27"/>
      <c r="C151" s="27"/>
      <c r="D151" s="27"/>
      <c r="E151" s="27"/>
      <c r="F151" s="92"/>
      <c r="I151" s="29"/>
      <c r="J151" s="29"/>
      <c r="K151" s="27"/>
      <c r="L151" s="27"/>
      <c r="M151" s="30"/>
    </row>
    <row r="152" spans="1:13" ht="18" x14ac:dyDescent="0.25">
      <c r="A152" s="161" t="s">
        <v>389</v>
      </c>
      <c r="F152" s="28"/>
      <c r="I152" s="29"/>
      <c r="J152" s="29"/>
      <c r="K152" s="27"/>
      <c r="L152" s="27"/>
      <c r="M152" s="30"/>
    </row>
    <row r="153" spans="1:13" ht="18" x14ac:dyDescent="0.25">
      <c r="A153" s="162" t="s">
        <v>396</v>
      </c>
      <c r="F153" s="28"/>
      <c r="I153" s="29"/>
      <c r="J153" s="29"/>
      <c r="K153" s="27"/>
      <c r="L153" s="27"/>
      <c r="M153" s="30"/>
    </row>
    <row r="154" spans="1:13" x14ac:dyDescent="0.2">
      <c r="A154" s="34"/>
      <c r="B154" s="27"/>
      <c r="C154" s="27"/>
      <c r="D154" s="27"/>
      <c r="E154" s="27"/>
      <c r="F154" s="28"/>
      <c r="I154" s="82"/>
      <c r="J154" s="82"/>
      <c r="K154" s="85"/>
      <c r="L154" s="85"/>
      <c r="M154" s="86"/>
    </row>
    <row r="155" spans="1:13" x14ac:dyDescent="0.2">
      <c r="A155" s="56"/>
      <c r="B155" s="27"/>
      <c r="C155" s="27"/>
      <c r="D155" s="27"/>
      <c r="E155" s="27"/>
      <c r="F155" s="28"/>
      <c r="G155" s="89"/>
      <c r="I155" s="82"/>
      <c r="J155" s="82"/>
      <c r="K155" s="85"/>
      <c r="L155" s="85"/>
      <c r="M155" s="86"/>
    </row>
    <row r="156" spans="1:13" x14ac:dyDescent="0.2">
      <c r="A156" s="131" t="s">
        <v>173</v>
      </c>
      <c r="B156" s="27"/>
      <c r="C156" s="27"/>
      <c r="D156" s="27"/>
      <c r="E156" s="27"/>
      <c r="F156" s="28"/>
      <c r="G156" s="131" t="s">
        <v>170</v>
      </c>
      <c r="I156" s="82"/>
      <c r="J156" s="82"/>
      <c r="K156" s="85"/>
      <c r="L156" s="85"/>
      <c r="M156" s="86"/>
    </row>
    <row r="157" spans="1:13" x14ac:dyDescent="0.2">
      <c r="A157" s="248" t="s">
        <v>380</v>
      </c>
      <c r="B157" s="27"/>
      <c r="C157" s="27"/>
      <c r="D157" s="27"/>
      <c r="E157" s="27"/>
      <c r="F157" s="28"/>
      <c r="G157" s="163" t="s">
        <v>398</v>
      </c>
      <c r="I157" s="82"/>
      <c r="J157" s="82"/>
      <c r="K157" s="85"/>
      <c r="L157" s="85"/>
      <c r="M157" s="86"/>
    </row>
    <row r="158" spans="1:13" x14ac:dyDescent="0.2">
      <c r="A158" s="168" t="s">
        <v>381</v>
      </c>
      <c r="B158" s="27"/>
      <c r="C158" s="27"/>
      <c r="G158" s="163" t="s">
        <v>399</v>
      </c>
      <c r="M158" s="43"/>
    </row>
    <row r="159" spans="1:13" x14ac:dyDescent="0.2">
      <c r="A159" s="161" t="s">
        <v>382</v>
      </c>
      <c r="B159" s="27"/>
      <c r="C159" s="27"/>
      <c r="D159" s="27"/>
      <c r="E159" s="27"/>
      <c r="F159" s="28"/>
      <c r="G159" s="168" t="s">
        <v>400</v>
      </c>
      <c r="K159" s="85"/>
      <c r="L159" s="85"/>
      <c r="M159" s="86"/>
    </row>
    <row r="160" spans="1:13" x14ac:dyDescent="0.2">
      <c r="A160" s="161" t="s">
        <v>384</v>
      </c>
      <c r="B160" s="35"/>
      <c r="C160" s="35"/>
      <c r="D160" s="27"/>
      <c r="E160" s="27"/>
      <c r="F160" s="28"/>
      <c r="G160" s="168" t="s">
        <v>406</v>
      </c>
      <c r="I160" s="82"/>
      <c r="J160" s="82"/>
      <c r="K160" s="85"/>
      <c r="L160" s="85"/>
      <c r="M160" s="86"/>
    </row>
    <row r="161" spans="1:13" x14ac:dyDescent="0.2">
      <c r="A161" s="248" t="s">
        <v>401</v>
      </c>
      <c r="B161" s="27"/>
      <c r="C161" s="27"/>
      <c r="D161" s="27"/>
      <c r="E161" s="89"/>
      <c r="F161" s="27"/>
      <c r="G161" s="163" t="s">
        <v>407</v>
      </c>
      <c r="I161" s="27"/>
      <c r="J161" s="82"/>
      <c r="M161" s="43"/>
    </row>
    <row r="162" spans="1:13" ht="18" x14ac:dyDescent="0.25">
      <c r="A162" s="161" t="s">
        <v>404</v>
      </c>
      <c r="B162" s="27"/>
      <c r="C162" s="27"/>
      <c r="D162" s="27"/>
      <c r="E162" s="27"/>
      <c r="F162" s="28"/>
      <c r="G162" s="89"/>
      <c r="I162" s="29"/>
      <c r="J162" s="29"/>
      <c r="K162" s="27"/>
      <c r="L162" s="27"/>
      <c r="M162" s="30"/>
    </row>
    <row r="163" spans="1:13" ht="18" x14ac:dyDescent="0.25">
      <c r="A163" s="168" t="s">
        <v>383</v>
      </c>
      <c r="B163" s="27"/>
      <c r="C163" s="27"/>
      <c r="D163" s="27"/>
      <c r="E163" s="89"/>
      <c r="F163" s="82"/>
      <c r="G163" s="89"/>
      <c r="H163" s="83"/>
      <c r="I163" s="83"/>
      <c r="J163" s="82"/>
      <c r="K163" s="85"/>
      <c r="L163" s="89"/>
      <c r="M163" s="120"/>
    </row>
    <row r="164" spans="1:13" ht="18" x14ac:dyDescent="0.25">
      <c r="A164" s="161" t="s">
        <v>394</v>
      </c>
      <c r="B164" s="27"/>
      <c r="C164" s="27"/>
      <c r="D164" s="27"/>
      <c r="E164" s="27"/>
      <c r="F164" s="82"/>
      <c r="H164" s="82"/>
      <c r="I164" s="83"/>
      <c r="J164" s="83"/>
      <c r="K164" s="84"/>
      <c r="L164" s="84"/>
      <c r="M164" s="30"/>
    </row>
    <row r="165" spans="1:13" ht="18" x14ac:dyDescent="0.25">
      <c r="A165" s="168" t="s">
        <v>376</v>
      </c>
      <c r="B165" s="27"/>
      <c r="C165" s="27"/>
      <c r="D165" s="27"/>
      <c r="E165" s="27"/>
      <c r="F165" s="82"/>
      <c r="H165" s="83"/>
      <c r="I165" s="83"/>
      <c r="J165" s="83"/>
      <c r="K165" s="84"/>
      <c r="L165" s="84"/>
      <c r="M165" s="30"/>
    </row>
    <row r="166" spans="1:13" ht="18" x14ac:dyDescent="0.25">
      <c r="A166" s="168" t="s">
        <v>405</v>
      </c>
      <c r="B166" s="27"/>
      <c r="C166" s="27"/>
      <c r="D166" s="27"/>
      <c r="E166" s="89"/>
      <c r="F166" s="82"/>
      <c r="H166" s="83"/>
      <c r="I166" s="82"/>
      <c r="J166" s="83"/>
      <c r="K166" s="84"/>
      <c r="L166" s="84"/>
      <c r="M166" s="30"/>
    </row>
    <row r="167" spans="1:13" ht="18" x14ac:dyDescent="0.25">
      <c r="A167" s="129"/>
      <c r="B167" s="31"/>
      <c r="C167" s="31"/>
      <c r="D167" s="31"/>
      <c r="E167" s="117"/>
      <c r="F167" s="91"/>
      <c r="G167" s="130"/>
      <c r="H167" s="130"/>
      <c r="I167" s="91"/>
      <c r="J167" s="130"/>
      <c r="K167" s="90"/>
      <c r="L167" s="90"/>
      <c r="M167" s="114"/>
    </row>
    <row r="168" spans="1:13" x14ac:dyDescent="0.2">
      <c r="A168" s="89"/>
      <c r="B168" s="28"/>
      <c r="C168" s="82"/>
      <c r="D168" s="82"/>
      <c r="E168" s="82"/>
      <c r="F168" s="82"/>
      <c r="G168" s="85"/>
      <c r="H168" s="85"/>
      <c r="I168" s="85"/>
      <c r="J168" s="85"/>
      <c r="K168" s="84"/>
      <c r="L168" s="84"/>
      <c r="M168" s="27"/>
    </row>
    <row r="171" spans="1:13" x14ac:dyDescent="0.2">
      <c r="I171" s="36"/>
      <c r="J171" s="36"/>
      <c r="K171" s="36"/>
      <c r="L171" s="36"/>
    </row>
    <row r="172" spans="1:13" x14ac:dyDescent="0.2">
      <c r="I172" s="36"/>
      <c r="J172" s="36"/>
      <c r="K172" s="36"/>
      <c r="L172" s="36"/>
    </row>
    <row r="182" spans="6:10" ht="18" x14ac:dyDescent="0.25">
      <c r="F182" s="14"/>
      <c r="G182" s="12"/>
      <c r="H182" s="15"/>
      <c r="I182" s="15"/>
      <c r="J182" s="12"/>
    </row>
    <row r="211" spans="1:13" ht="18" x14ac:dyDescent="0.25">
      <c r="A211" s="89"/>
      <c r="B211" s="31"/>
      <c r="C211" s="31"/>
      <c r="D211" s="31"/>
      <c r="E211" s="27"/>
      <c r="F211" s="82"/>
      <c r="G211" s="83"/>
      <c r="H211" s="83"/>
      <c r="I211" s="82"/>
      <c r="J211" s="83"/>
      <c r="K211" s="84"/>
      <c r="L211" s="84"/>
      <c r="M211" s="27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9"/>
  <sheetViews>
    <sheetView topLeftCell="A73" workbookViewId="0">
      <selection activeCell="N39" sqref="N3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 t="s">
        <v>203</v>
      </c>
      <c r="H2" s="10"/>
      <c r="I2" s="10"/>
      <c r="J2" s="12"/>
    </row>
    <row r="6" spans="1:18" x14ac:dyDescent="0.2">
      <c r="A6" s="186" t="s">
        <v>15</v>
      </c>
      <c r="B6" s="186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84</v>
      </c>
      <c r="D7" s="36">
        <v>2</v>
      </c>
      <c r="E7" s="36">
        <v>101</v>
      </c>
      <c r="F7" s="72">
        <v>266</v>
      </c>
      <c r="G7" s="72">
        <v>71</v>
      </c>
      <c r="H7" s="72">
        <v>12</v>
      </c>
      <c r="I7" s="72">
        <v>1</v>
      </c>
      <c r="J7" s="72">
        <v>206</v>
      </c>
      <c r="K7" s="72">
        <v>57</v>
      </c>
      <c r="L7" s="4"/>
      <c r="M7" s="4">
        <f>SUM(C7:L7)</f>
        <v>800</v>
      </c>
    </row>
    <row r="8" spans="1:18" x14ac:dyDescent="0.2">
      <c r="A8" s="38"/>
      <c r="B8" s="57" t="s">
        <v>156</v>
      </c>
      <c r="C8" s="36">
        <v>90</v>
      </c>
      <c r="D8" s="36">
        <v>2</v>
      </c>
      <c r="E8" s="36">
        <v>128</v>
      </c>
      <c r="F8" s="72">
        <v>284</v>
      </c>
      <c r="G8" s="72">
        <v>68</v>
      </c>
      <c r="H8" s="72">
        <v>12</v>
      </c>
      <c r="I8" s="72">
        <v>1</v>
      </c>
      <c r="J8" s="72">
        <v>229</v>
      </c>
      <c r="K8" s="72">
        <v>39</v>
      </c>
      <c r="L8" s="72">
        <v>19</v>
      </c>
      <c r="M8" s="4">
        <f>SUM(C8:L8)</f>
        <v>872</v>
      </c>
    </row>
    <row r="9" spans="1:18" ht="13.5" thickBot="1" x14ac:dyDescent="0.25">
      <c r="A9" s="38"/>
      <c r="B9" s="57" t="s">
        <v>157</v>
      </c>
      <c r="C9" s="3">
        <v>8</v>
      </c>
      <c r="D9" s="3">
        <v>0</v>
      </c>
      <c r="E9" s="3">
        <v>1</v>
      </c>
      <c r="F9" s="3">
        <v>11</v>
      </c>
      <c r="G9" s="3">
        <v>22</v>
      </c>
      <c r="H9" s="3">
        <v>0</v>
      </c>
      <c r="I9" s="3">
        <v>0</v>
      </c>
      <c r="J9" s="3">
        <v>25</v>
      </c>
      <c r="K9" s="3">
        <v>8</v>
      </c>
      <c r="L9" s="3"/>
      <c r="M9" s="3">
        <f>SUM(C9:L9)</f>
        <v>75</v>
      </c>
    </row>
    <row r="10" spans="1:18" ht="13.5" thickTop="1" x14ac:dyDescent="0.2">
      <c r="A10" s="48"/>
      <c r="B10" s="65" t="s">
        <v>14</v>
      </c>
      <c r="C10" s="45">
        <f>SUM(C7:C9)</f>
        <v>182</v>
      </c>
      <c r="D10" s="45">
        <f t="shared" ref="D10:M10" si="0">SUM(D7:D9)</f>
        <v>4</v>
      </c>
      <c r="E10" s="45">
        <f t="shared" si="0"/>
        <v>230</v>
      </c>
      <c r="F10" s="45">
        <f t="shared" si="0"/>
        <v>561</v>
      </c>
      <c r="G10" s="45">
        <f t="shared" si="0"/>
        <v>161</v>
      </c>
      <c r="H10" s="45">
        <f t="shared" si="0"/>
        <v>24</v>
      </c>
      <c r="I10" s="45">
        <f t="shared" si="0"/>
        <v>2</v>
      </c>
      <c r="J10" s="45">
        <f t="shared" si="0"/>
        <v>460</v>
      </c>
      <c r="K10" s="45">
        <f t="shared" si="0"/>
        <v>104</v>
      </c>
      <c r="L10" s="45">
        <f t="shared" si="0"/>
        <v>19</v>
      </c>
      <c r="M10" s="45">
        <f t="shared" si="0"/>
        <v>1747</v>
      </c>
    </row>
    <row r="11" spans="1:18" x14ac:dyDescent="0.2">
      <c r="B11" s="1"/>
      <c r="D11" s="2"/>
    </row>
    <row r="12" spans="1:18" x14ac:dyDescent="0.2">
      <c r="A12" s="181" t="s">
        <v>52</v>
      </c>
      <c r="B12" s="181"/>
      <c r="C12" s="157">
        <v>3252</v>
      </c>
      <c r="D12" s="158">
        <v>82</v>
      </c>
      <c r="E12" s="157">
        <v>14848</v>
      </c>
      <c r="F12" s="158">
        <v>11894</v>
      </c>
      <c r="G12" s="158">
        <v>9413</v>
      </c>
      <c r="H12" s="158">
        <v>61</v>
      </c>
      <c r="I12" s="158">
        <v>60</v>
      </c>
      <c r="J12" s="158">
        <v>11030</v>
      </c>
      <c r="K12" s="158">
        <v>1907</v>
      </c>
      <c r="L12" s="158"/>
      <c r="M12" s="159">
        <f>SUM(C12:K12)</f>
        <v>52547</v>
      </c>
      <c r="N12" s="27"/>
    </row>
    <row r="13" spans="1:18" x14ac:dyDescent="0.2">
      <c r="A13" s="57" t="s">
        <v>122</v>
      </c>
      <c r="B13" s="60"/>
      <c r="C13" s="57"/>
      <c r="D13" s="36"/>
      <c r="E13" s="36"/>
      <c r="F13" s="128"/>
      <c r="G13" s="128"/>
      <c r="H13" s="128"/>
      <c r="I13" s="128"/>
      <c r="J13" s="128"/>
      <c r="K13" s="128"/>
      <c r="L13" s="128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65</v>
      </c>
      <c r="D19" s="36">
        <v>1</v>
      </c>
      <c r="E19" s="36">
        <v>133</v>
      </c>
      <c r="F19" s="4">
        <v>174</v>
      </c>
      <c r="G19" s="4">
        <v>111</v>
      </c>
      <c r="H19" s="4">
        <v>1</v>
      </c>
      <c r="I19" s="4">
        <v>5</v>
      </c>
      <c r="J19" s="4">
        <v>75</v>
      </c>
      <c r="K19" s="4">
        <v>48</v>
      </c>
      <c r="L19" s="43">
        <f>SUM(C19:K19)</f>
        <v>613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0</v>
      </c>
      <c r="L20" s="61">
        <f>SUM(C20:K20)</f>
        <v>3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18</v>
      </c>
      <c r="F21" s="4">
        <v>16</v>
      </c>
      <c r="G21" s="4">
        <v>19</v>
      </c>
      <c r="H21" s="4">
        <v>1</v>
      </c>
      <c r="I21" s="4">
        <v>0</v>
      </c>
      <c r="J21" s="4">
        <v>28</v>
      </c>
      <c r="K21" s="4">
        <v>4</v>
      </c>
      <c r="L21" s="61">
        <f>SUM(C21:K21)</f>
        <v>87</v>
      </c>
    </row>
    <row r="22" spans="1:13" x14ac:dyDescent="0.2">
      <c r="A22" s="38"/>
      <c r="B22" s="36" t="s">
        <v>10</v>
      </c>
      <c r="C22" s="4">
        <v>4</v>
      </c>
      <c r="D22" s="4">
        <v>3</v>
      </c>
      <c r="E22" s="4">
        <v>12</v>
      </c>
      <c r="F22" s="4">
        <v>59</v>
      </c>
      <c r="G22" s="4">
        <v>18</v>
      </c>
      <c r="H22" s="4">
        <v>2</v>
      </c>
      <c r="I22" s="4">
        <v>2</v>
      </c>
      <c r="J22" s="4">
        <v>30</v>
      </c>
      <c r="K22" s="4">
        <v>5</v>
      </c>
      <c r="L22" s="61">
        <f>SUM(C22:K22)</f>
        <v>135</v>
      </c>
    </row>
    <row r="23" spans="1:13" ht="13.5" thickBot="1" x14ac:dyDescent="0.25">
      <c r="A23" s="38"/>
      <c r="B23" s="36" t="s">
        <v>9</v>
      </c>
      <c r="C23" s="3">
        <v>129</v>
      </c>
      <c r="D23" s="3">
        <v>75</v>
      </c>
      <c r="E23" s="3">
        <v>349</v>
      </c>
      <c r="F23" s="3">
        <v>389</v>
      </c>
      <c r="G23" s="3">
        <v>211</v>
      </c>
      <c r="H23" s="3">
        <v>15</v>
      </c>
      <c r="I23" s="3">
        <v>15</v>
      </c>
      <c r="J23" s="3">
        <v>635</v>
      </c>
      <c r="K23" s="3">
        <v>177</v>
      </c>
      <c r="L23" s="59">
        <f>SUM(C23:K23)</f>
        <v>1995</v>
      </c>
    </row>
    <row r="24" spans="1:13" ht="13.5" thickTop="1" x14ac:dyDescent="0.2">
      <c r="A24" s="38"/>
      <c r="B24" s="60" t="s">
        <v>14</v>
      </c>
      <c r="C24" s="36">
        <f>SUM(C19:C23)</f>
        <v>200</v>
      </c>
      <c r="D24" s="36">
        <f t="shared" ref="D24:L24" si="1">SUM(D19:D23)</f>
        <v>79</v>
      </c>
      <c r="E24" s="36">
        <f t="shared" si="1"/>
        <v>513</v>
      </c>
      <c r="F24" s="36">
        <f t="shared" si="1"/>
        <v>638</v>
      </c>
      <c r="G24" s="36">
        <f t="shared" si="1"/>
        <v>360</v>
      </c>
      <c r="H24" s="36">
        <f t="shared" si="1"/>
        <v>19</v>
      </c>
      <c r="I24" s="36">
        <f t="shared" si="1"/>
        <v>22</v>
      </c>
      <c r="J24" s="36">
        <f t="shared" si="1"/>
        <v>768</v>
      </c>
      <c r="K24" s="36">
        <f t="shared" si="1"/>
        <v>234</v>
      </c>
      <c r="L24" s="36">
        <f t="shared" si="1"/>
        <v>2833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55.49</v>
      </c>
      <c r="D27" s="87">
        <v>0</v>
      </c>
      <c r="E27" s="87">
        <v>49.65</v>
      </c>
      <c r="F27" s="87">
        <v>23.25</v>
      </c>
      <c r="G27" s="87">
        <v>0.25</v>
      </c>
      <c r="H27" s="87">
        <v>0</v>
      </c>
      <c r="I27" s="87">
        <v>0</v>
      </c>
      <c r="J27" s="87">
        <v>19</v>
      </c>
      <c r="K27" s="87">
        <v>50</v>
      </c>
      <c r="L27" s="87">
        <v>0</v>
      </c>
      <c r="M27" s="250">
        <f>SUM(C27:L27)</f>
        <v>197.64</v>
      </c>
    </row>
    <row r="29" spans="1:13" x14ac:dyDescent="0.2">
      <c r="A29" s="181" t="s">
        <v>66</v>
      </c>
      <c r="B29" s="181"/>
      <c r="C29" s="181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94</v>
      </c>
      <c r="D31" s="36">
        <v>6</v>
      </c>
      <c r="E31" s="36">
        <v>93</v>
      </c>
      <c r="F31" s="4">
        <v>184</v>
      </c>
      <c r="G31" s="4">
        <v>132</v>
      </c>
      <c r="H31" s="4">
        <v>252</v>
      </c>
      <c r="I31" s="4">
        <v>5</v>
      </c>
      <c r="J31" s="4">
        <v>257</v>
      </c>
      <c r="K31" s="4">
        <v>205</v>
      </c>
      <c r="L31" s="4">
        <f>SUM(C31:K31)</f>
        <v>1228</v>
      </c>
    </row>
    <row r="32" spans="1:13" x14ac:dyDescent="0.2">
      <c r="B32" s="60" t="s">
        <v>18</v>
      </c>
      <c r="C32" s="36">
        <v>9</v>
      </c>
      <c r="D32" s="36">
        <v>11</v>
      </c>
      <c r="E32" s="36">
        <v>62</v>
      </c>
      <c r="F32" s="4">
        <v>47</v>
      </c>
      <c r="G32" s="4">
        <v>47</v>
      </c>
      <c r="H32" s="4">
        <v>1</v>
      </c>
      <c r="I32" s="4"/>
      <c r="J32" s="4">
        <v>54</v>
      </c>
      <c r="K32" s="4">
        <v>210</v>
      </c>
      <c r="L32" s="4">
        <f>SUM(C32:K32)</f>
        <v>441</v>
      </c>
    </row>
    <row r="33" spans="1:12" x14ac:dyDescent="0.2">
      <c r="B33" s="60" t="s">
        <v>20</v>
      </c>
      <c r="C33" s="36">
        <v>191</v>
      </c>
      <c r="D33" s="36">
        <v>273</v>
      </c>
      <c r="E33" s="36">
        <v>674</v>
      </c>
      <c r="F33" s="36">
        <v>404</v>
      </c>
      <c r="G33" s="4">
        <v>367</v>
      </c>
      <c r="H33" s="4">
        <v>8</v>
      </c>
      <c r="I33" s="36"/>
      <c r="J33" s="36">
        <v>398</v>
      </c>
      <c r="K33" s="4">
        <v>274</v>
      </c>
      <c r="L33" s="4">
        <v>0</v>
      </c>
    </row>
    <row r="34" spans="1:12" x14ac:dyDescent="0.2">
      <c r="B34" s="60" t="s">
        <v>113</v>
      </c>
      <c r="C34" s="4">
        <v>48</v>
      </c>
      <c r="D34" s="4">
        <v>27</v>
      </c>
      <c r="E34" s="4">
        <v>10</v>
      </c>
      <c r="F34" s="4">
        <f>43+27</f>
        <v>70</v>
      </c>
      <c r="G34" s="4">
        <f>39+23</f>
        <v>62</v>
      </c>
      <c r="H34" s="4">
        <f>15+63</f>
        <v>78</v>
      </c>
      <c r="I34" s="4"/>
      <c r="J34" s="4">
        <v>18</v>
      </c>
      <c r="K34" s="4">
        <f>1+6</f>
        <v>7</v>
      </c>
      <c r="L34" s="4">
        <f>SUM(C34:K34)</f>
        <v>320</v>
      </c>
    </row>
    <row r="35" spans="1:12" ht="13.5" thickBot="1" x14ac:dyDescent="0.25">
      <c r="B35" s="16" t="s">
        <v>19</v>
      </c>
      <c r="C35" s="3">
        <f t="shared" ref="C35:I35" si="2">C76</f>
        <v>31</v>
      </c>
      <c r="D35" s="3">
        <f t="shared" si="2"/>
        <v>34</v>
      </c>
      <c r="E35" s="3">
        <f t="shared" si="2"/>
        <v>81</v>
      </c>
      <c r="F35" s="3">
        <f t="shared" si="2"/>
        <v>129</v>
      </c>
      <c r="G35" s="3">
        <f t="shared" si="2"/>
        <v>59</v>
      </c>
      <c r="H35" s="3">
        <f t="shared" si="2"/>
        <v>47</v>
      </c>
      <c r="I35" s="3">
        <f t="shared" si="2"/>
        <v>19</v>
      </c>
      <c r="J35" s="3">
        <f>J76</f>
        <v>244</v>
      </c>
      <c r="K35" s="3">
        <f>K76</f>
        <v>78</v>
      </c>
      <c r="L35" s="122">
        <f>SUM(C35:K35)</f>
        <v>722</v>
      </c>
    </row>
    <row r="36" spans="1:12" ht="13.5" thickTop="1" x14ac:dyDescent="0.2">
      <c r="B36" s="65" t="s">
        <v>14</v>
      </c>
      <c r="C36" s="45">
        <f t="shared" ref="C36:K36" si="3">SUM(C31:C35)</f>
        <v>373</v>
      </c>
      <c r="D36" s="45">
        <f t="shared" si="3"/>
        <v>351</v>
      </c>
      <c r="E36" s="45">
        <f t="shared" si="3"/>
        <v>920</v>
      </c>
      <c r="F36" s="45">
        <f t="shared" si="3"/>
        <v>834</v>
      </c>
      <c r="G36" s="45">
        <f t="shared" si="3"/>
        <v>667</v>
      </c>
      <c r="H36" s="45">
        <f t="shared" si="3"/>
        <v>386</v>
      </c>
      <c r="I36" s="45">
        <f t="shared" si="3"/>
        <v>24</v>
      </c>
      <c r="J36" s="45">
        <f t="shared" si="3"/>
        <v>971</v>
      </c>
      <c r="K36" s="45">
        <f t="shared" si="3"/>
        <v>774</v>
      </c>
      <c r="L36" s="62">
        <f>SUM(C36:K36)</f>
        <v>5300</v>
      </c>
    </row>
    <row r="38" spans="1:12" x14ac:dyDescent="0.2">
      <c r="A38" s="186" t="s">
        <v>57</v>
      </c>
      <c r="B38" s="187"/>
      <c r="C38" s="40">
        <v>12</v>
      </c>
      <c r="D38" s="40">
        <v>0</v>
      </c>
      <c r="E38" s="40">
        <v>10</v>
      </c>
      <c r="F38" s="66">
        <v>16</v>
      </c>
      <c r="G38" s="66">
        <v>6</v>
      </c>
      <c r="H38" s="66">
        <v>0</v>
      </c>
      <c r="I38" s="66">
        <v>0</v>
      </c>
      <c r="J38" s="66">
        <v>24</v>
      </c>
      <c r="K38" s="66">
        <v>0</v>
      </c>
      <c r="L38" s="66">
        <f>SUM(C38:K38)</f>
        <v>68</v>
      </c>
    </row>
    <row r="39" spans="1:12" ht="13.5" thickBot="1" x14ac:dyDescent="0.25">
      <c r="A39" s="190" t="s">
        <v>158</v>
      </c>
      <c r="B39" s="191"/>
      <c r="C39" s="3"/>
      <c r="D39" s="3"/>
      <c r="E39" s="3"/>
      <c r="F39" s="3">
        <v>18</v>
      </c>
      <c r="G39" s="3">
        <v>57</v>
      </c>
      <c r="H39" s="3">
        <v>2</v>
      </c>
      <c r="I39" s="3">
        <v>0</v>
      </c>
      <c r="J39" s="3">
        <v>449</v>
      </c>
      <c r="K39" s="3">
        <v>0</v>
      </c>
      <c r="L39" s="122">
        <f>SUM(C39:K39)</f>
        <v>526</v>
      </c>
    </row>
    <row r="40" spans="1:12" ht="13.5" thickTop="1" x14ac:dyDescent="0.2">
      <c r="A40" s="71"/>
      <c r="B40" s="60" t="s">
        <v>7</v>
      </c>
      <c r="C40" s="36">
        <f>SUM(C38:C39)</f>
        <v>12</v>
      </c>
      <c r="D40" s="36">
        <f t="shared" ref="D40:K40" si="4">SUM(D38:D39)</f>
        <v>0</v>
      </c>
      <c r="E40" s="36">
        <f t="shared" si="4"/>
        <v>10</v>
      </c>
      <c r="F40" s="36">
        <f t="shared" si="4"/>
        <v>34</v>
      </c>
      <c r="G40" s="36">
        <f t="shared" si="4"/>
        <v>63</v>
      </c>
      <c r="H40" s="36">
        <f t="shared" si="4"/>
        <v>2</v>
      </c>
      <c r="I40" s="36">
        <f t="shared" si="4"/>
        <v>0</v>
      </c>
      <c r="J40" s="36">
        <f t="shared" si="4"/>
        <v>473</v>
      </c>
      <c r="K40" s="36">
        <f t="shared" si="4"/>
        <v>0</v>
      </c>
      <c r="L40" s="128">
        <f>SUM(L38:L39)</f>
        <v>594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6" t="s">
        <v>56</v>
      </c>
      <c r="B42" s="187"/>
      <c r="C42" s="45">
        <v>0</v>
      </c>
      <c r="D42" s="45">
        <v>0</v>
      </c>
      <c r="E42" s="45">
        <v>0</v>
      </c>
      <c r="F42" s="68">
        <v>0</v>
      </c>
      <c r="G42" s="68">
        <v>0</v>
      </c>
      <c r="H42" s="68">
        <v>0</v>
      </c>
      <c r="I42" s="68">
        <v>0</v>
      </c>
      <c r="J42" s="68">
        <v>12</v>
      </c>
      <c r="K42" s="68">
        <v>0</v>
      </c>
      <c r="L42" s="68">
        <f>SUM(C42:K42)</f>
        <v>12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2</v>
      </c>
      <c r="E44" s="40">
        <v>2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1</v>
      </c>
      <c r="L44" s="40">
        <f>SUM(C44:K44)</f>
        <v>5</v>
      </c>
    </row>
    <row r="45" spans="1:12" x14ac:dyDescent="0.2">
      <c r="A45" s="69" t="s">
        <v>22</v>
      </c>
      <c r="B45" s="65"/>
      <c r="C45" s="45">
        <v>0</v>
      </c>
      <c r="D45" s="45">
        <v>3</v>
      </c>
      <c r="E45" s="45">
        <v>35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6</v>
      </c>
      <c r="L45" s="45">
        <f>SUM(C45:K45)</f>
        <v>44</v>
      </c>
    </row>
    <row r="46" spans="1:12" x14ac:dyDescent="0.2">
      <c r="A46" s="38"/>
    </row>
    <row r="47" spans="1:12" x14ac:dyDescent="0.2">
      <c r="A47" s="200" t="s">
        <v>19</v>
      </c>
    </row>
    <row r="48" spans="1:12" x14ac:dyDescent="0.2">
      <c r="B48" s="143"/>
      <c r="C48" s="64" t="s">
        <v>3</v>
      </c>
      <c r="D48" s="64" t="s">
        <v>4</v>
      </c>
      <c r="E48" s="64" t="s">
        <v>0</v>
      </c>
      <c r="F48" s="64" t="s">
        <v>1</v>
      </c>
      <c r="G48" s="64" t="s">
        <v>2</v>
      </c>
      <c r="H48" s="64" t="s">
        <v>5</v>
      </c>
      <c r="I48" s="64" t="s">
        <v>6</v>
      </c>
      <c r="J48" s="64" t="s">
        <v>28</v>
      </c>
      <c r="K48" s="64" t="s">
        <v>40</v>
      </c>
      <c r="L48" s="165" t="s">
        <v>14</v>
      </c>
    </row>
    <row r="49" spans="2:12" x14ac:dyDescent="0.2">
      <c r="B49" s="38" t="s">
        <v>73</v>
      </c>
      <c r="C49" s="36">
        <v>4</v>
      </c>
      <c r="D49" s="36"/>
      <c r="E49" s="36">
        <v>7</v>
      </c>
      <c r="F49" s="4">
        <v>6</v>
      </c>
      <c r="G49" s="4">
        <v>9</v>
      </c>
      <c r="H49" s="4">
        <v>7</v>
      </c>
      <c r="I49" s="4"/>
      <c r="J49" s="4">
        <v>32</v>
      </c>
      <c r="K49" s="4">
        <v>5</v>
      </c>
      <c r="L49" s="61">
        <f t="shared" ref="L49:L76" si="5">SUM(C49:K49)</f>
        <v>70</v>
      </c>
    </row>
    <row r="50" spans="2:12" x14ac:dyDescent="0.2">
      <c r="B50" s="42" t="s">
        <v>119</v>
      </c>
      <c r="C50" s="36"/>
      <c r="D50" s="36"/>
      <c r="E50" s="4"/>
      <c r="F50" s="36"/>
      <c r="G50" s="36"/>
      <c r="H50" s="36"/>
      <c r="I50" s="36"/>
      <c r="J50" s="36"/>
      <c r="K50" s="36"/>
      <c r="L50" s="61">
        <f t="shared" si="5"/>
        <v>0</v>
      </c>
    </row>
    <row r="51" spans="2:12" x14ac:dyDescent="0.2">
      <c r="B51" s="42" t="s">
        <v>108</v>
      </c>
      <c r="C51" s="36"/>
      <c r="D51" s="36"/>
      <c r="E51" s="36">
        <v>1</v>
      </c>
      <c r="F51" s="36"/>
      <c r="G51" s="36"/>
      <c r="H51" s="4"/>
      <c r="I51" s="36"/>
      <c r="J51" s="4">
        <v>20</v>
      </c>
      <c r="K51" s="4"/>
      <c r="L51" s="61">
        <f t="shared" si="5"/>
        <v>21</v>
      </c>
    </row>
    <row r="52" spans="2:12" x14ac:dyDescent="0.2">
      <c r="B52" s="42" t="s">
        <v>144</v>
      </c>
      <c r="C52" s="36"/>
      <c r="D52" s="36">
        <v>7</v>
      </c>
      <c r="E52" s="36"/>
      <c r="F52" s="36"/>
      <c r="G52" s="36"/>
      <c r="H52" s="36"/>
      <c r="I52" s="36"/>
      <c r="J52" s="4"/>
      <c r="K52" s="4"/>
      <c r="L52" s="61">
        <f t="shared" si="5"/>
        <v>7</v>
      </c>
    </row>
    <row r="53" spans="2:12" x14ac:dyDescent="0.2">
      <c r="B53" s="42" t="s">
        <v>159</v>
      </c>
      <c r="C53" s="4">
        <v>2</v>
      </c>
      <c r="D53" s="36"/>
      <c r="E53" s="36"/>
      <c r="F53" s="36">
        <v>4</v>
      </c>
      <c r="G53" s="36">
        <v>7</v>
      </c>
      <c r="H53" s="36">
        <v>2</v>
      </c>
      <c r="I53" s="36"/>
      <c r="J53" s="4">
        <v>23</v>
      </c>
      <c r="K53" s="4">
        <v>15</v>
      </c>
      <c r="L53" s="61">
        <f t="shared" si="5"/>
        <v>53</v>
      </c>
    </row>
    <row r="54" spans="2:12" x14ac:dyDescent="0.2">
      <c r="B54" s="42" t="s">
        <v>109</v>
      </c>
      <c r="C54" s="4">
        <v>1</v>
      </c>
      <c r="D54" s="36"/>
      <c r="E54" s="4"/>
      <c r="F54" s="4">
        <v>2</v>
      </c>
      <c r="G54" s="36"/>
      <c r="H54" s="36"/>
      <c r="I54" s="36"/>
      <c r="J54" s="4"/>
      <c r="K54" s="36"/>
      <c r="L54" s="61">
        <f t="shared" si="5"/>
        <v>3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61">
        <f t="shared" si="5"/>
        <v>0</v>
      </c>
    </row>
    <row r="56" spans="2:12" x14ac:dyDescent="0.2">
      <c r="B56" s="42" t="s">
        <v>93</v>
      </c>
      <c r="C56" s="36"/>
      <c r="D56" s="36"/>
      <c r="E56" s="4"/>
      <c r="F56" s="4"/>
      <c r="G56" s="4"/>
      <c r="H56" s="4"/>
      <c r="I56" s="4"/>
      <c r="J56" s="4"/>
      <c r="K56" s="4"/>
      <c r="L56" s="61">
        <f t="shared" si="5"/>
        <v>0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36"/>
      <c r="K57" s="4"/>
      <c r="L57" s="61">
        <f t="shared" si="5"/>
        <v>0</v>
      </c>
    </row>
    <row r="58" spans="2:12" x14ac:dyDescent="0.2">
      <c r="B58" s="42" t="s">
        <v>107</v>
      </c>
      <c r="C58" s="36"/>
      <c r="D58" s="36">
        <v>1</v>
      </c>
      <c r="E58" s="4">
        <v>1</v>
      </c>
      <c r="F58" s="4"/>
      <c r="G58" s="4">
        <v>1</v>
      </c>
      <c r="H58" s="4"/>
      <c r="I58" s="36"/>
      <c r="J58" s="4">
        <v>6</v>
      </c>
      <c r="K58" s="4">
        <v>4</v>
      </c>
      <c r="L58" s="61">
        <f t="shared" si="5"/>
        <v>13</v>
      </c>
    </row>
    <row r="59" spans="2:12" x14ac:dyDescent="0.2">
      <c r="B59" s="42" t="s">
        <v>110</v>
      </c>
      <c r="C59" s="36">
        <v>3</v>
      </c>
      <c r="D59" s="36"/>
      <c r="E59" s="4">
        <v>3</v>
      </c>
      <c r="F59" s="4">
        <v>7</v>
      </c>
      <c r="G59" s="4">
        <v>2</v>
      </c>
      <c r="H59" s="4">
        <v>1</v>
      </c>
      <c r="I59" s="36"/>
      <c r="J59" s="4">
        <v>4</v>
      </c>
      <c r="K59" s="4">
        <v>1</v>
      </c>
      <c r="L59" s="61">
        <f t="shared" si="5"/>
        <v>21</v>
      </c>
    </row>
    <row r="60" spans="2:12" x14ac:dyDescent="0.2">
      <c r="B60" s="42" t="s">
        <v>95</v>
      </c>
      <c r="C60" s="36"/>
      <c r="D60" s="36"/>
      <c r="E60" s="36"/>
      <c r="F60" s="36">
        <v>1</v>
      </c>
      <c r="G60" s="4"/>
      <c r="H60" s="4"/>
      <c r="I60" s="36"/>
      <c r="J60" s="4"/>
      <c r="K60" s="4"/>
      <c r="L60" s="61">
        <f t="shared" si="5"/>
        <v>1</v>
      </c>
    </row>
    <row r="61" spans="2:12" x14ac:dyDescent="0.2">
      <c r="B61" s="38" t="s">
        <v>42</v>
      </c>
      <c r="C61" s="36">
        <v>5</v>
      </c>
      <c r="D61" s="36">
        <v>4</v>
      </c>
      <c r="E61" s="4">
        <v>25</v>
      </c>
      <c r="F61" s="4">
        <v>23</v>
      </c>
      <c r="G61" s="4">
        <v>14</v>
      </c>
      <c r="H61" s="4">
        <v>11</v>
      </c>
      <c r="I61" s="4">
        <v>9</v>
      </c>
      <c r="J61" s="4">
        <v>45</v>
      </c>
      <c r="K61" s="4">
        <v>10</v>
      </c>
      <c r="L61" s="61">
        <f t="shared" si="5"/>
        <v>146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61">
        <f t="shared" si="5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61">
        <f t="shared" si="5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61">
        <f t="shared" si="5"/>
        <v>0</v>
      </c>
    </row>
    <row r="65" spans="1:13" x14ac:dyDescent="0.2">
      <c r="B65" s="42" t="s">
        <v>163</v>
      </c>
      <c r="C65" s="36"/>
      <c r="D65" s="36"/>
      <c r="E65" s="36">
        <v>3</v>
      </c>
      <c r="F65" s="36">
        <v>6</v>
      </c>
      <c r="G65" s="4">
        <v>2</v>
      </c>
      <c r="H65" s="4"/>
      <c r="I65" s="4"/>
      <c r="J65" s="4"/>
      <c r="K65" s="4"/>
      <c r="L65" s="61">
        <f t="shared" si="5"/>
        <v>11</v>
      </c>
    </row>
    <row r="66" spans="1:13" x14ac:dyDescent="0.2">
      <c r="B66" s="38" t="s">
        <v>83</v>
      </c>
      <c r="C66" s="4">
        <v>12</v>
      </c>
      <c r="D66" s="4">
        <v>20</v>
      </c>
      <c r="E66" s="4">
        <v>30</v>
      </c>
      <c r="F66" s="4">
        <v>30</v>
      </c>
      <c r="G66" s="4">
        <v>5</v>
      </c>
      <c r="H66" s="4">
        <v>25</v>
      </c>
      <c r="I66" s="4">
        <v>9</v>
      </c>
      <c r="J66" s="4">
        <v>80</v>
      </c>
      <c r="K66" s="4">
        <v>36</v>
      </c>
      <c r="L66" s="61">
        <f t="shared" si="5"/>
        <v>247</v>
      </c>
    </row>
    <row r="67" spans="1:13" x14ac:dyDescent="0.2">
      <c r="B67" s="42" t="s">
        <v>161</v>
      </c>
      <c r="C67" s="4"/>
      <c r="D67" s="4"/>
      <c r="E67" s="4"/>
      <c r="F67" s="4"/>
      <c r="G67" s="4"/>
      <c r="H67" s="4"/>
      <c r="I67" s="4"/>
      <c r="J67" s="4"/>
      <c r="K67" s="4"/>
      <c r="L67" s="61">
        <f t="shared" si="5"/>
        <v>0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61">
        <f t="shared" si="5"/>
        <v>0</v>
      </c>
    </row>
    <row r="69" spans="1:13" x14ac:dyDescent="0.2">
      <c r="B69" s="42" t="s">
        <v>94</v>
      </c>
      <c r="C69" s="4">
        <v>2</v>
      </c>
      <c r="D69" s="36"/>
      <c r="E69" s="4"/>
      <c r="F69" s="4">
        <v>20</v>
      </c>
      <c r="G69" s="4"/>
      <c r="H69" s="4">
        <v>1</v>
      </c>
      <c r="I69" s="4"/>
      <c r="J69" s="4">
        <v>11</v>
      </c>
      <c r="K69" s="4"/>
      <c r="L69" s="61">
        <f t="shared" si="5"/>
        <v>34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61">
        <f t="shared" si="5"/>
        <v>0</v>
      </c>
    </row>
    <row r="71" spans="1:13" x14ac:dyDescent="0.2">
      <c r="B71" s="42" t="s">
        <v>44</v>
      </c>
      <c r="C71" s="4">
        <v>2</v>
      </c>
      <c r="D71" s="36"/>
      <c r="E71" s="4">
        <v>8</v>
      </c>
      <c r="F71" s="4">
        <v>25</v>
      </c>
      <c r="G71" s="4">
        <v>13</v>
      </c>
      <c r="H71" s="4"/>
      <c r="I71" s="4">
        <v>1</v>
      </c>
      <c r="J71" s="4">
        <v>13</v>
      </c>
      <c r="K71" s="4">
        <v>3</v>
      </c>
      <c r="L71" s="61">
        <f t="shared" si="5"/>
        <v>65</v>
      </c>
    </row>
    <row r="72" spans="1:13" x14ac:dyDescent="0.2">
      <c r="B72" s="42" t="s">
        <v>43</v>
      </c>
      <c r="C72" s="36"/>
      <c r="D72" s="36">
        <v>2</v>
      </c>
      <c r="E72" s="36">
        <v>3</v>
      </c>
      <c r="F72" s="4">
        <v>4</v>
      </c>
      <c r="G72" s="4">
        <v>6</v>
      </c>
      <c r="H72" s="4"/>
      <c r="I72" s="4"/>
      <c r="J72" s="36">
        <v>1</v>
      </c>
      <c r="K72" s="4">
        <v>4</v>
      </c>
      <c r="L72" s="61">
        <f t="shared" si="5"/>
        <v>20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61">
        <f t="shared" si="5"/>
        <v>0</v>
      </c>
    </row>
    <row r="74" spans="1:13" x14ac:dyDescent="0.2">
      <c r="B74" s="38" t="s">
        <v>74</v>
      </c>
      <c r="C74" s="36"/>
      <c r="D74" s="36"/>
      <c r="E74" s="36"/>
      <c r="F74" s="4"/>
      <c r="G74" s="4"/>
      <c r="H74" s="4"/>
      <c r="I74" s="36"/>
      <c r="J74" s="36"/>
      <c r="K74" s="4"/>
      <c r="L74" s="61">
        <f t="shared" si="5"/>
        <v>0</v>
      </c>
    </row>
    <row r="75" spans="1:13" ht="13.5" thickBot="1" x14ac:dyDescent="0.25">
      <c r="B75" s="80" t="s">
        <v>67</v>
      </c>
      <c r="C75" s="3"/>
      <c r="D75" s="3"/>
      <c r="E75" s="3"/>
      <c r="F75" s="3">
        <v>1</v>
      </c>
      <c r="G75" s="3"/>
      <c r="H75" s="3"/>
      <c r="I75" s="3"/>
      <c r="J75" s="3">
        <v>9</v>
      </c>
      <c r="K75" s="3"/>
      <c r="L75" s="150">
        <f t="shared" si="5"/>
        <v>10</v>
      </c>
    </row>
    <row r="76" spans="1:13" ht="13.5" thickTop="1" x14ac:dyDescent="0.2">
      <c r="B76" s="69" t="s">
        <v>7</v>
      </c>
      <c r="C76" s="45">
        <f t="shared" ref="C76:K76" si="6">SUM(C49:C75)</f>
        <v>31</v>
      </c>
      <c r="D76" s="45">
        <f t="shared" si="6"/>
        <v>34</v>
      </c>
      <c r="E76" s="45">
        <f t="shared" si="6"/>
        <v>81</v>
      </c>
      <c r="F76" s="45">
        <f t="shared" si="6"/>
        <v>129</v>
      </c>
      <c r="G76" s="45">
        <f t="shared" si="6"/>
        <v>59</v>
      </c>
      <c r="H76" s="45">
        <f t="shared" si="6"/>
        <v>47</v>
      </c>
      <c r="I76" s="45">
        <f t="shared" si="6"/>
        <v>19</v>
      </c>
      <c r="J76" s="45">
        <f t="shared" si="6"/>
        <v>244</v>
      </c>
      <c r="K76" s="45">
        <f t="shared" si="6"/>
        <v>78</v>
      </c>
      <c r="L76" s="151">
        <f t="shared" si="5"/>
        <v>722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186"/>
      <c r="M78" s="6"/>
    </row>
    <row r="79" spans="1:13" x14ac:dyDescent="0.2">
      <c r="A79" s="94" t="s">
        <v>123</v>
      </c>
      <c r="C79" s="43">
        <v>16</v>
      </c>
      <c r="D79" s="6"/>
      <c r="E79" s="38" t="s">
        <v>9</v>
      </c>
      <c r="F79" s="36"/>
      <c r="G79" s="43">
        <v>434</v>
      </c>
      <c r="I79" s="42" t="s">
        <v>133</v>
      </c>
      <c r="J79" s="36"/>
      <c r="K79" s="36"/>
      <c r="L79" s="43">
        <v>499</v>
      </c>
      <c r="M79" s="6"/>
    </row>
    <row r="80" spans="1:13" x14ac:dyDescent="0.2">
      <c r="A80" s="42" t="s">
        <v>29</v>
      </c>
      <c r="B80" s="36"/>
      <c r="C80" s="43">
        <v>0</v>
      </c>
      <c r="D80" s="6"/>
      <c r="E80" s="38" t="s">
        <v>10</v>
      </c>
      <c r="F80" s="36"/>
      <c r="G80" s="43">
        <v>109</v>
      </c>
      <c r="I80" s="42" t="s">
        <v>134</v>
      </c>
      <c r="J80" s="36"/>
      <c r="K80" s="36"/>
      <c r="L80" s="43">
        <v>92</v>
      </c>
      <c r="M80" s="6"/>
    </row>
    <row r="81" spans="1:13" x14ac:dyDescent="0.2">
      <c r="A81" s="42" t="s">
        <v>124</v>
      </c>
      <c r="B81" s="36"/>
      <c r="C81" s="43">
        <v>20</v>
      </c>
      <c r="D81" s="6"/>
      <c r="E81" s="38" t="s">
        <v>11</v>
      </c>
      <c r="F81" s="36"/>
      <c r="G81" s="43">
        <v>31</v>
      </c>
      <c r="I81" s="42" t="s">
        <v>46</v>
      </c>
      <c r="J81" s="36"/>
      <c r="K81" s="36"/>
      <c r="L81" s="43">
        <v>9</v>
      </c>
      <c r="M81" s="6"/>
    </row>
    <row r="82" spans="1:13" x14ac:dyDescent="0.2">
      <c r="A82" s="42" t="s">
        <v>125</v>
      </c>
      <c r="B82" s="57"/>
      <c r="C82" s="43">
        <v>315</v>
      </c>
      <c r="D82" s="6"/>
      <c r="E82" s="38" t="s">
        <v>38</v>
      </c>
      <c r="F82" s="36"/>
      <c r="G82" s="43">
        <v>104</v>
      </c>
      <c r="I82" s="42" t="s">
        <v>47</v>
      </c>
      <c r="J82" s="36"/>
      <c r="K82" s="36"/>
      <c r="L82" s="43">
        <v>4</v>
      </c>
      <c r="M82" s="6"/>
    </row>
    <row r="83" spans="1:13" x14ac:dyDescent="0.2">
      <c r="A83" s="42" t="s">
        <v>106</v>
      </c>
      <c r="B83" s="57"/>
      <c r="C83" s="43">
        <v>37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2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8</v>
      </c>
    </row>
    <row r="86" spans="1:13" x14ac:dyDescent="0.2">
      <c r="A86" s="42" t="s">
        <v>126</v>
      </c>
      <c r="B86" s="36"/>
      <c r="C86" s="43">
        <v>4</v>
      </c>
      <c r="E86" s="186" t="s">
        <v>31</v>
      </c>
      <c r="F86" s="193"/>
      <c r="G86" s="194"/>
      <c r="H86" s="186"/>
    </row>
    <row r="87" spans="1:13" x14ac:dyDescent="0.2">
      <c r="A87" s="104" t="s">
        <v>414</v>
      </c>
      <c r="B87" s="36"/>
      <c r="C87" s="43">
        <v>0</v>
      </c>
      <c r="E87" s="42" t="s">
        <v>32</v>
      </c>
      <c r="F87" s="60"/>
      <c r="G87" s="60"/>
      <c r="H87" s="49">
        <v>59</v>
      </c>
    </row>
    <row r="88" spans="1:13" x14ac:dyDescent="0.2">
      <c r="A88" s="104" t="s">
        <v>128</v>
      </c>
      <c r="B88" s="57"/>
      <c r="C88" s="43">
        <v>0</v>
      </c>
      <c r="E88" s="42" t="s">
        <v>33</v>
      </c>
      <c r="F88" s="57"/>
      <c r="G88" s="57"/>
      <c r="H88" s="49">
        <v>72</v>
      </c>
    </row>
    <row r="89" spans="1:13" x14ac:dyDescent="0.2">
      <c r="A89" s="104" t="s">
        <v>18</v>
      </c>
      <c r="C89" s="61">
        <v>7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v>649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415</v>
      </c>
      <c r="C95" s="19"/>
      <c r="D95" s="19">
        <v>1441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/>
      <c r="E96" s="17"/>
      <c r="F96" t="s">
        <v>416</v>
      </c>
      <c r="H96" s="1"/>
      <c r="I96" s="71" t="s">
        <v>139</v>
      </c>
      <c r="J96" s="60"/>
      <c r="L96">
        <v>232</v>
      </c>
      <c r="M96" s="43"/>
    </row>
    <row r="97" spans="1:13" x14ac:dyDescent="0.2">
      <c r="A97" s="1"/>
      <c r="B97" s="17" t="s">
        <v>147</v>
      </c>
      <c r="C97" s="17"/>
      <c r="D97" s="17">
        <v>90</v>
      </c>
      <c r="E97" s="17">
        <v>97</v>
      </c>
      <c r="I97" s="42" t="s">
        <v>140</v>
      </c>
      <c r="K97" s="36"/>
      <c r="L97" s="36"/>
      <c r="M97" s="43"/>
    </row>
    <row r="98" spans="1:13" x14ac:dyDescent="0.2">
      <c r="B98" s="22" t="s">
        <v>102</v>
      </c>
      <c r="C98" s="22"/>
      <c r="D98" s="132">
        <v>1064</v>
      </c>
      <c r="E98" s="22"/>
      <c r="I98" s="71" t="s">
        <v>154</v>
      </c>
      <c r="J98" s="60"/>
      <c r="K98" s="60"/>
      <c r="L98" s="57">
        <v>39</v>
      </c>
      <c r="M98" s="74"/>
    </row>
    <row r="99" spans="1:13" x14ac:dyDescent="0.2">
      <c r="B99" s="37" t="s">
        <v>151</v>
      </c>
      <c r="C99" s="22"/>
      <c r="D99" s="22">
        <v>17</v>
      </c>
      <c r="E99" s="22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191</v>
      </c>
      <c r="E100" s="22"/>
      <c r="H100" s="1"/>
      <c r="I100" s="69"/>
      <c r="J100" s="65"/>
      <c r="K100" s="98"/>
      <c r="L100" s="98"/>
      <c r="M100" s="99"/>
    </row>
    <row r="101" spans="1:13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37"/>
      <c r="H102" s="1"/>
      <c r="I102" s="199" t="s">
        <v>112</v>
      </c>
      <c r="J102" s="199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128</v>
      </c>
      <c r="E103" s="37"/>
      <c r="I103" s="102" t="s">
        <v>116</v>
      </c>
      <c r="J103" s="40"/>
      <c r="K103" s="103">
        <v>985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119</v>
      </c>
      <c r="E104" s="37"/>
      <c r="I104" s="104" t="s">
        <v>101</v>
      </c>
      <c r="J104" s="4"/>
      <c r="K104" s="105">
        <v>213</v>
      </c>
      <c r="L104" s="93"/>
      <c r="M104" s="93"/>
    </row>
    <row r="105" spans="1:13" x14ac:dyDescent="0.2">
      <c r="B105" s="21" t="s">
        <v>99</v>
      </c>
      <c r="C105" s="21"/>
      <c r="D105" s="20">
        <v>80</v>
      </c>
      <c r="E105" s="20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39">
        <v>39</v>
      </c>
      <c r="E107" s="17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21"/>
      <c r="I108" s="110" t="s">
        <v>23</v>
      </c>
      <c r="J108" s="101"/>
      <c r="K108" s="36">
        <v>2</v>
      </c>
      <c r="L108" s="36">
        <v>1</v>
      </c>
      <c r="M108" s="109">
        <v>3</v>
      </c>
    </row>
    <row r="109" spans="1:13" x14ac:dyDescent="0.2">
      <c r="A109" s="1" t="s">
        <v>77</v>
      </c>
      <c r="B109" s="20" t="s">
        <v>82</v>
      </c>
      <c r="C109" s="20"/>
      <c r="D109" s="17">
        <v>18</v>
      </c>
      <c r="E109" s="17">
        <v>80</v>
      </c>
      <c r="I109" s="110" t="s">
        <v>24</v>
      </c>
      <c r="J109" s="101"/>
      <c r="K109" s="36">
        <v>17</v>
      </c>
      <c r="L109" s="36">
        <v>2</v>
      </c>
      <c r="M109" s="109">
        <v>19</v>
      </c>
    </row>
    <row r="110" spans="1:13" x14ac:dyDescent="0.2">
      <c r="A110" s="1"/>
      <c r="B110" s="115" t="s">
        <v>153</v>
      </c>
      <c r="D110" s="20">
        <v>0</v>
      </c>
      <c r="E110" s="20"/>
      <c r="I110" s="110" t="s">
        <v>156</v>
      </c>
      <c r="J110" s="101"/>
      <c r="K110" s="36">
        <v>1</v>
      </c>
      <c r="L110" s="36"/>
      <c r="M110" s="109">
        <v>1</v>
      </c>
    </row>
    <row r="111" spans="1:13" x14ac:dyDescent="0.2">
      <c r="A111" s="1"/>
      <c r="B111" s="39" t="s">
        <v>182</v>
      </c>
      <c r="C111" s="20"/>
      <c r="D111" s="116">
        <v>175</v>
      </c>
      <c r="E111" s="20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116">
        <v>244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237</v>
      </c>
      <c r="E113" s="20"/>
      <c r="I113" s="253" t="s">
        <v>111</v>
      </c>
      <c r="J113" s="253"/>
      <c r="K113" s="121">
        <v>0</v>
      </c>
      <c r="L113" s="110"/>
      <c r="M113" s="101"/>
    </row>
    <row r="114" spans="1:13" x14ac:dyDescent="0.2">
      <c r="B114" s="116" t="s">
        <v>132</v>
      </c>
      <c r="C114" s="20"/>
      <c r="D114" s="116">
        <v>82</v>
      </c>
      <c r="E114" s="20"/>
      <c r="I114" s="253" t="s">
        <v>143</v>
      </c>
      <c r="J114" s="253"/>
      <c r="K114" s="121">
        <v>6</v>
      </c>
      <c r="L114" s="94" t="s">
        <v>145</v>
      </c>
      <c r="M114" s="101"/>
    </row>
    <row r="115" spans="1:13" x14ac:dyDescent="0.2">
      <c r="D115">
        <f>SUM(D95:D114)</f>
        <v>3925</v>
      </c>
      <c r="E115">
        <f>SUM(E95:E114)</f>
        <v>177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7"/>
      <c r="D117" s="127"/>
      <c r="E117" s="126"/>
      <c r="F117" s="127"/>
    </row>
    <row r="118" spans="1:13" x14ac:dyDescent="0.2">
      <c r="A118" s="181" t="s">
        <v>58</v>
      </c>
      <c r="B118" s="259"/>
      <c r="C118" s="45"/>
      <c r="D118" s="45"/>
    </row>
    <row r="119" spans="1:13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408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57" t="s">
        <v>409</v>
      </c>
      <c r="K121" s="36"/>
      <c r="L121" s="36"/>
      <c r="M121" s="43"/>
    </row>
    <row r="122" spans="1:13" x14ac:dyDescent="0.2">
      <c r="A122" s="71" t="s">
        <v>105</v>
      </c>
      <c r="B122" s="57">
        <v>47968</v>
      </c>
      <c r="C122" s="36">
        <f>96+23+42</f>
        <v>161</v>
      </c>
      <c r="D122" s="36">
        <v>1479</v>
      </c>
      <c r="E122" s="4">
        <f>4+44+2+14+8+84+28+30+67+32+1+3</f>
        <v>317</v>
      </c>
      <c r="F122" s="4">
        <f>55+3+20+4+2+1+5+4+5+2+38+15+11+4+71+3+4+2+9+3+10+2+6+19+15+4+8+1+15+2+24+7+1+7+3+12+13+9+3+24+5+3+1+2</f>
        <v>457</v>
      </c>
      <c r="G122" s="36">
        <v>1063</v>
      </c>
      <c r="H122" s="4">
        <f>16+189+1566</f>
        <v>1771</v>
      </c>
      <c r="I122" s="4">
        <v>94</v>
      </c>
      <c r="J122" s="36">
        <v>2</v>
      </c>
      <c r="K122" s="36">
        <v>10415</v>
      </c>
      <c r="L122" s="36">
        <v>634</v>
      </c>
      <c r="M122" s="43">
        <f>SUM(B122:L122)</f>
        <v>64361</v>
      </c>
    </row>
    <row r="123" spans="1:13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48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87</v>
      </c>
      <c r="F126" s="186" t="s">
        <v>49</v>
      </c>
      <c r="G126" s="187"/>
      <c r="H126" s="75">
        <v>2</v>
      </c>
      <c r="J126" s="186" t="s">
        <v>75</v>
      </c>
      <c r="K126" s="187"/>
      <c r="L126" s="186"/>
      <c r="M126" s="41">
        <v>0</v>
      </c>
    </row>
    <row r="127" spans="1:13" x14ac:dyDescent="0.2">
      <c r="A127" s="203" t="s">
        <v>84</v>
      </c>
      <c r="B127" s="200"/>
      <c r="C127" s="49"/>
      <c r="F127" s="190" t="s">
        <v>50</v>
      </c>
      <c r="G127" s="191"/>
      <c r="H127" s="76">
        <v>0</v>
      </c>
      <c r="J127" s="190" t="s">
        <v>76</v>
      </c>
      <c r="K127" s="191"/>
      <c r="L127" s="190"/>
      <c r="M127" s="46">
        <v>43</v>
      </c>
    </row>
    <row r="128" spans="1:13" x14ac:dyDescent="0.2">
      <c r="A128" s="190" t="s">
        <v>92</v>
      </c>
      <c r="B128" s="202"/>
      <c r="C128" s="46">
        <v>642</v>
      </c>
      <c r="D128" s="2" t="s">
        <v>155</v>
      </c>
      <c r="L128" t="s">
        <v>413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163</v>
      </c>
      <c r="D132" s="36">
        <v>116</v>
      </c>
      <c r="E132" s="36">
        <v>752</v>
      </c>
      <c r="F132" s="4">
        <v>520</v>
      </c>
      <c r="G132" s="4">
        <v>293</v>
      </c>
      <c r="H132" s="4">
        <v>15</v>
      </c>
      <c r="I132" s="4">
        <v>94</v>
      </c>
      <c r="J132" s="4">
        <v>318</v>
      </c>
      <c r="K132" s="4">
        <v>798</v>
      </c>
      <c r="L132" s="4">
        <f>SUM(C132:K132)</f>
        <v>3069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4" t="s">
        <v>181</v>
      </c>
      <c r="F133" s="134">
        <v>292</v>
      </c>
      <c r="G133" s="134" t="s">
        <v>181</v>
      </c>
      <c r="H133" s="134" t="s">
        <v>181</v>
      </c>
      <c r="I133" s="134" t="s">
        <v>181</v>
      </c>
      <c r="J133" s="134">
        <v>276</v>
      </c>
      <c r="K133" s="134" t="s">
        <v>181</v>
      </c>
      <c r="L133" s="4">
        <f>SUM(C133:K133)</f>
        <v>568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0</v>
      </c>
      <c r="E134" s="208">
        <v>3</v>
      </c>
      <c r="F134" s="208">
        <v>7</v>
      </c>
      <c r="G134" s="208">
        <v>0</v>
      </c>
      <c r="H134" s="208">
        <v>1</v>
      </c>
      <c r="I134" s="208" t="s">
        <v>181</v>
      </c>
      <c r="J134" s="208">
        <v>0</v>
      </c>
      <c r="K134" s="208">
        <v>2</v>
      </c>
      <c r="L134" s="208">
        <f>SUM(C134:K134)</f>
        <v>13</v>
      </c>
    </row>
    <row r="135" spans="1:13" ht="13.5" thickTop="1" x14ac:dyDescent="0.2">
      <c r="B135" s="60" t="s">
        <v>14</v>
      </c>
      <c r="C135" s="36">
        <f>SUM(C132:C134)</f>
        <v>163</v>
      </c>
      <c r="D135" s="36">
        <f>SUM(D132:D134)</f>
        <v>116</v>
      </c>
      <c r="E135" s="36">
        <f t="shared" ref="E135:L135" si="7">SUM(E132:E134)</f>
        <v>755</v>
      </c>
      <c r="F135" s="36">
        <f t="shared" si="7"/>
        <v>819</v>
      </c>
      <c r="G135" s="36">
        <f t="shared" si="7"/>
        <v>293</v>
      </c>
      <c r="H135" s="36">
        <f t="shared" si="7"/>
        <v>16</v>
      </c>
      <c r="I135" s="36">
        <f t="shared" si="7"/>
        <v>94</v>
      </c>
      <c r="J135" s="36">
        <f t="shared" si="7"/>
        <v>594</v>
      </c>
      <c r="K135" s="36">
        <f t="shared" si="7"/>
        <v>800</v>
      </c>
      <c r="L135" s="57">
        <f t="shared" si="7"/>
        <v>3650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56" t="s">
        <v>424</v>
      </c>
      <c r="B141" s="27"/>
      <c r="C141" s="27"/>
      <c r="D141" s="27"/>
      <c r="E141" s="27"/>
      <c r="F141" s="28"/>
      <c r="G141" s="89" t="s">
        <v>417</v>
      </c>
      <c r="H141" s="29"/>
      <c r="I141" s="82"/>
      <c r="J141" s="83"/>
      <c r="K141" s="84"/>
      <c r="L141" s="84"/>
      <c r="M141" s="119"/>
    </row>
    <row r="142" spans="1:13" ht="18" x14ac:dyDescent="0.25">
      <c r="B142" s="27"/>
      <c r="C142" s="27"/>
      <c r="D142" s="27"/>
      <c r="E142" s="27"/>
      <c r="F142" s="82"/>
      <c r="G142" s="83"/>
      <c r="H142" s="82"/>
      <c r="I142" s="82"/>
      <c r="J142" s="82"/>
      <c r="K142" s="85"/>
      <c r="L142" s="85"/>
      <c r="M142" s="86"/>
    </row>
    <row r="143" spans="1:13" x14ac:dyDescent="0.2">
      <c r="A143" s="56"/>
      <c r="B143" s="27"/>
      <c r="C143" s="27"/>
      <c r="D143" s="27"/>
      <c r="E143" s="27"/>
      <c r="F143" s="28"/>
      <c r="G143" s="82"/>
      <c r="H143" s="82"/>
      <c r="I143" s="82"/>
      <c r="J143" s="82"/>
      <c r="K143" s="85"/>
      <c r="L143" s="85"/>
      <c r="M143" s="86"/>
    </row>
    <row r="144" spans="1:13" x14ac:dyDescent="0.2">
      <c r="A144" s="34" t="s">
        <v>164</v>
      </c>
      <c r="M144" s="43"/>
    </row>
    <row r="145" spans="1:13" ht="18" x14ac:dyDescent="0.25">
      <c r="A145" s="161" t="s">
        <v>412</v>
      </c>
      <c r="B145" s="89"/>
      <c r="C145" s="27"/>
      <c r="D145" s="27"/>
      <c r="E145" s="27"/>
      <c r="F145" s="82"/>
      <c r="G145" s="82"/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418</v>
      </c>
      <c r="B146" s="27"/>
      <c r="C146" s="27"/>
      <c r="D146" s="27"/>
      <c r="E146" s="27"/>
      <c r="F146" s="82"/>
      <c r="G146" s="82"/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426</v>
      </c>
      <c r="B147" s="89"/>
      <c r="C147" s="27"/>
      <c r="D147" s="27"/>
      <c r="E147" s="27"/>
      <c r="F147" s="27"/>
      <c r="G147" s="28"/>
      <c r="H147" s="29"/>
      <c r="I147" s="29"/>
      <c r="J147" s="29"/>
      <c r="K147" s="29"/>
      <c r="L147" s="27"/>
      <c r="M147" s="30"/>
    </row>
    <row r="148" spans="1:13" x14ac:dyDescent="0.2">
      <c r="A148" s="168" t="s">
        <v>431</v>
      </c>
      <c r="B148" s="35"/>
      <c r="C148" s="35"/>
      <c r="D148" s="27"/>
      <c r="E148" s="35"/>
      <c r="F148" s="92"/>
      <c r="G148" s="35" t="s">
        <v>168</v>
      </c>
      <c r="I148" s="82"/>
      <c r="J148" s="82"/>
      <c r="K148" s="27"/>
      <c r="L148" s="27"/>
      <c r="M148" s="30"/>
    </row>
    <row r="149" spans="1:13" x14ac:dyDescent="0.2">
      <c r="A149" s="161" t="s">
        <v>432</v>
      </c>
      <c r="B149" s="27"/>
      <c r="C149" s="27"/>
      <c r="D149" s="27"/>
      <c r="E149" s="27"/>
      <c r="F149" s="92"/>
      <c r="G149" s="163" t="s">
        <v>421</v>
      </c>
      <c r="I149" s="82"/>
      <c r="J149" s="82"/>
      <c r="K149" s="27"/>
      <c r="L149" s="27"/>
      <c r="M149" s="30"/>
    </row>
    <row r="150" spans="1:13" ht="18" x14ac:dyDescent="0.25">
      <c r="A150" s="161" t="s">
        <v>422</v>
      </c>
      <c r="B150" s="27"/>
      <c r="C150" s="27"/>
      <c r="D150" s="27"/>
      <c r="E150" s="27"/>
      <c r="F150" s="92"/>
      <c r="G150" s="89"/>
      <c r="I150" s="29"/>
      <c r="J150" s="29"/>
      <c r="K150" s="27"/>
      <c r="L150" s="27"/>
      <c r="M150" s="30"/>
    </row>
    <row r="151" spans="1:13" ht="18" x14ac:dyDescent="0.25">
      <c r="A151" s="162" t="s">
        <v>425</v>
      </c>
      <c r="F151" s="28"/>
      <c r="G151" s="89"/>
      <c r="I151" s="29"/>
      <c r="J151" s="29"/>
      <c r="K151" s="27"/>
      <c r="L151" s="27"/>
      <c r="M151" s="30"/>
    </row>
    <row r="152" spans="1:13" x14ac:dyDescent="0.2">
      <c r="A152" s="162" t="s">
        <v>427</v>
      </c>
      <c r="B152" s="27"/>
      <c r="C152" s="27"/>
      <c r="D152" s="27"/>
      <c r="E152" s="27"/>
      <c r="F152" s="28"/>
      <c r="G152" s="131" t="s">
        <v>170</v>
      </c>
      <c r="I152" s="82"/>
      <c r="J152" s="82"/>
      <c r="K152" s="85"/>
      <c r="L152" s="85"/>
      <c r="M152" s="86"/>
    </row>
    <row r="153" spans="1:13" x14ac:dyDescent="0.2">
      <c r="A153" s="56"/>
      <c r="B153" s="27"/>
      <c r="C153" s="27"/>
      <c r="D153" s="27"/>
      <c r="E153" s="27"/>
      <c r="F153" s="28"/>
      <c r="G153" s="163" t="s">
        <v>410</v>
      </c>
      <c r="I153" s="82"/>
      <c r="J153" s="82"/>
      <c r="K153" s="85"/>
      <c r="L153" s="85"/>
      <c r="M153" s="86"/>
    </row>
    <row r="154" spans="1:13" x14ac:dyDescent="0.2">
      <c r="A154" s="56"/>
      <c r="B154" s="27"/>
      <c r="C154" s="27"/>
      <c r="D154" s="27"/>
      <c r="E154" s="27"/>
      <c r="F154" s="28"/>
      <c r="G154" s="163" t="s">
        <v>411</v>
      </c>
      <c r="I154" s="82"/>
      <c r="J154" s="82"/>
      <c r="K154" s="85"/>
      <c r="L154" s="85"/>
      <c r="M154" s="86"/>
    </row>
    <row r="155" spans="1:13" x14ac:dyDescent="0.2">
      <c r="A155" s="56"/>
      <c r="B155" s="27"/>
      <c r="C155" s="27"/>
      <c r="D155" s="27"/>
      <c r="E155" s="27"/>
      <c r="F155" s="28"/>
      <c r="G155" s="248" t="s">
        <v>420</v>
      </c>
      <c r="I155" s="82"/>
      <c r="J155" s="82"/>
      <c r="K155" s="85"/>
      <c r="L155" s="85"/>
      <c r="M155" s="86"/>
    </row>
    <row r="156" spans="1:13" x14ac:dyDescent="0.2">
      <c r="A156" s="131" t="s">
        <v>173</v>
      </c>
      <c r="B156" s="27"/>
      <c r="C156" s="27"/>
      <c r="G156" s="248" t="s">
        <v>423</v>
      </c>
      <c r="M156" s="43"/>
    </row>
    <row r="157" spans="1:13" x14ac:dyDescent="0.2">
      <c r="A157" s="248" t="s">
        <v>434</v>
      </c>
      <c r="B157" s="27"/>
      <c r="C157" s="27"/>
      <c r="D157" s="27"/>
      <c r="E157" s="27"/>
      <c r="F157" s="28"/>
      <c r="G157" s="248" t="s">
        <v>430</v>
      </c>
      <c r="K157" s="85"/>
      <c r="L157" s="85"/>
      <c r="M157" s="86"/>
    </row>
    <row r="158" spans="1:13" x14ac:dyDescent="0.2">
      <c r="A158" s="168" t="s">
        <v>428</v>
      </c>
      <c r="B158" s="35"/>
      <c r="C158" s="35"/>
      <c r="D158" s="27"/>
      <c r="E158" s="27"/>
      <c r="F158" s="28"/>
      <c r="I158" s="82"/>
      <c r="J158" s="82"/>
      <c r="K158" s="85"/>
      <c r="L158" s="85"/>
      <c r="M158" s="86"/>
    </row>
    <row r="159" spans="1:13" x14ac:dyDescent="0.2">
      <c r="A159" s="168" t="s">
        <v>419</v>
      </c>
      <c r="B159" s="27"/>
      <c r="C159" s="27"/>
      <c r="D159" s="27"/>
      <c r="E159" s="89"/>
      <c r="F159" s="27"/>
      <c r="G159" s="89"/>
      <c r="I159" s="27"/>
      <c r="J159" s="82"/>
      <c r="M159" s="43"/>
    </row>
    <row r="160" spans="1:13" ht="18" x14ac:dyDescent="0.25">
      <c r="A160" s="161" t="s">
        <v>429</v>
      </c>
      <c r="B160" s="27"/>
      <c r="C160" s="27"/>
      <c r="D160" s="27"/>
      <c r="E160" s="27"/>
      <c r="F160" s="28"/>
      <c r="G160" s="89"/>
      <c r="I160" s="29"/>
      <c r="J160" s="29"/>
      <c r="K160" s="27"/>
      <c r="L160" s="27"/>
      <c r="M160" s="30"/>
    </row>
    <row r="161" spans="1:13" ht="18" x14ac:dyDescent="0.25">
      <c r="A161" s="161" t="s">
        <v>435</v>
      </c>
      <c r="B161" s="27"/>
      <c r="C161" s="27"/>
      <c r="D161" s="27"/>
      <c r="E161" s="89"/>
      <c r="F161" s="82"/>
      <c r="G161" s="89"/>
      <c r="I161" s="83"/>
      <c r="J161" s="82"/>
      <c r="K161" s="85"/>
      <c r="L161" s="89"/>
      <c r="M161" s="120"/>
    </row>
    <row r="162" spans="1:13" ht="18" x14ac:dyDescent="0.25">
      <c r="A162" s="161" t="s">
        <v>433</v>
      </c>
      <c r="B162" s="27"/>
      <c r="C162" s="27"/>
      <c r="D162" s="27"/>
      <c r="E162" s="27"/>
      <c r="F162" s="82"/>
      <c r="H162" s="82"/>
      <c r="I162" s="83"/>
      <c r="J162" s="83"/>
      <c r="K162" s="84"/>
      <c r="L162" s="84"/>
      <c r="M162" s="30"/>
    </row>
    <row r="163" spans="1:13" ht="18" x14ac:dyDescent="0.25">
      <c r="A163" s="161" t="s">
        <v>436</v>
      </c>
      <c r="B163" s="27"/>
      <c r="C163" s="27"/>
      <c r="D163" s="27"/>
      <c r="E163" s="27"/>
      <c r="F163" s="82"/>
      <c r="H163" s="83"/>
      <c r="I163" s="83"/>
      <c r="J163" s="83"/>
      <c r="K163" s="84"/>
      <c r="L163" s="84"/>
      <c r="M163" s="30"/>
    </row>
    <row r="164" spans="1:13" ht="18" x14ac:dyDescent="0.25">
      <c r="A164" s="248" t="s">
        <v>438</v>
      </c>
      <c r="B164" s="27"/>
      <c r="C164" s="27"/>
      <c r="D164" s="27"/>
      <c r="E164" s="89"/>
      <c r="H164" s="83"/>
      <c r="I164" s="82"/>
      <c r="J164" s="83"/>
      <c r="K164" s="84"/>
      <c r="L164" s="84"/>
      <c r="M164" s="30"/>
    </row>
    <row r="165" spans="1:13" ht="18" x14ac:dyDescent="0.25">
      <c r="A165" s="171" t="s">
        <v>437</v>
      </c>
      <c r="B165" s="31"/>
      <c r="C165" s="31"/>
      <c r="D165" s="31"/>
      <c r="E165" s="117"/>
      <c r="F165" s="91"/>
      <c r="G165" s="45"/>
      <c r="H165" s="130"/>
      <c r="I165" s="91"/>
      <c r="J165" s="130"/>
      <c r="K165" s="90"/>
      <c r="L165" s="90"/>
      <c r="M165" s="114"/>
    </row>
    <row r="166" spans="1:13" x14ac:dyDescent="0.2">
      <c r="A166" s="89"/>
      <c r="B166" s="28"/>
      <c r="C166" s="82"/>
      <c r="D166" s="82"/>
      <c r="E166" s="82"/>
      <c r="F166" s="82"/>
      <c r="G166" s="85"/>
      <c r="H166" s="85"/>
      <c r="I166" s="85"/>
      <c r="J166" s="85"/>
      <c r="K166" s="84"/>
      <c r="L166" s="84"/>
      <c r="M166" s="27"/>
    </row>
    <row r="169" spans="1:13" x14ac:dyDescent="0.2">
      <c r="I169" s="36"/>
      <c r="J169" s="36"/>
      <c r="K169" s="36"/>
      <c r="L169" s="36"/>
    </row>
    <row r="170" spans="1:13" x14ac:dyDescent="0.2">
      <c r="I170" s="36"/>
      <c r="J170" s="36"/>
      <c r="K170" s="36"/>
      <c r="L170" s="36"/>
    </row>
    <row r="180" spans="6:10" ht="18" x14ac:dyDescent="0.25">
      <c r="F180" s="14"/>
      <c r="G180" s="12"/>
      <c r="H180" s="15"/>
      <c r="I180" s="15"/>
      <c r="J180" s="12"/>
    </row>
    <row r="209" spans="1:13" ht="18" x14ac:dyDescent="0.25">
      <c r="A209" s="89"/>
      <c r="B209" s="31"/>
      <c r="C209" s="31"/>
      <c r="D209" s="31"/>
      <c r="E209" s="27"/>
      <c r="F209" s="82"/>
      <c r="G209" s="83"/>
      <c r="H209" s="83"/>
      <c r="I209" s="82"/>
      <c r="J209" s="83"/>
      <c r="K209" s="84"/>
      <c r="L209" s="84"/>
      <c r="M209" s="27"/>
    </row>
  </sheetData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1"/>
  <sheetViews>
    <sheetView topLeftCell="A76" workbookViewId="0">
      <selection activeCell="O39" sqref="O39"/>
    </sheetView>
  </sheetViews>
  <sheetFormatPr defaultRowHeight="12.75" x14ac:dyDescent="0.2"/>
  <cols>
    <col min="2" max="2" width="11" customWidth="1"/>
    <col min="7" max="7" width="10.85546875" bestFit="1" customWidth="1"/>
    <col min="10" max="10" width="10.5703125" bestFit="1" customWidth="1"/>
  </cols>
  <sheetData>
    <row r="1" spans="1:18" ht="18" x14ac:dyDescent="0.25">
      <c r="E1" s="53" t="s">
        <v>104</v>
      </c>
      <c r="F1" s="52"/>
      <c r="G1" s="10"/>
      <c r="H1" s="10"/>
      <c r="I1" s="10"/>
      <c r="J1" s="54"/>
    </row>
    <row r="2" spans="1:18" ht="18" x14ac:dyDescent="0.25">
      <c r="F2" s="13"/>
      <c r="G2" s="11">
        <v>42430</v>
      </c>
      <c r="H2" s="10"/>
      <c r="I2" s="10"/>
      <c r="J2" s="12"/>
    </row>
    <row r="5" spans="1:18" ht="15.75" customHeight="1" x14ac:dyDescent="0.2"/>
    <row r="6" spans="1:18" x14ac:dyDescent="0.2">
      <c r="A6" s="186" t="s">
        <v>15</v>
      </c>
      <c r="B6" s="186"/>
      <c r="C6" s="70" t="s">
        <v>3</v>
      </c>
      <c r="D6" s="70" t="s">
        <v>4</v>
      </c>
      <c r="E6" s="70" t="s">
        <v>0</v>
      </c>
      <c r="F6" s="70" t="s">
        <v>1</v>
      </c>
      <c r="G6" s="70" t="s">
        <v>2</v>
      </c>
      <c r="H6" s="70" t="s">
        <v>5</v>
      </c>
      <c r="I6" s="70" t="s">
        <v>6</v>
      </c>
      <c r="J6" s="70" t="s">
        <v>28</v>
      </c>
      <c r="K6" s="70" t="s">
        <v>40</v>
      </c>
      <c r="L6" s="70" t="s">
        <v>152</v>
      </c>
      <c r="M6" s="70" t="s">
        <v>14</v>
      </c>
    </row>
    <row r="7" spans="1:18" x14ac:dyDescent="0.2">
      <c r="A7" s="38"/>
      <c r="B7" s="36" t="s">
        <v>16</v>
      </c>
      <c r="C7" s="36">
        <v>50</v>
      </c>
      <c r="D7" s="36">
        <v>19</v>
      </c>
      <c r="E7" s="36">
        <v>109</v>
      </c>
      <c r="F7" s="72">
        <v>262</v>
      </c>
      <c r="G7" s="72">
        <v>75</v>
      </c>
      <c r="H7" s="72">
        <v>0</v>
      </c>
      <c r="I7" s="72">
        <v>0</v>
      </c>
      <c r="J7" s="72">
        <v>194</v>
      </c>
      <c r="K7" s="72">
        <v>15</v>
      </c>
      <c r="L7" s="4"/>
      <c r="M7" s="4">
        <f>SUM(C7:L7)</f>
        <v>724</v>
      </c>
    </row>
    <row r="8" spans="1:18" x14ac:dyDescent="0.2">
      <c r="A8" s="38"/>
      <c r="B8" s="57" t="s">
        <v>156</v>
      </c>
      <c r="C8" s="36">
        <v>14</v>
      </c>
      <c r="D8" s="36">
        <v>3</v>
      </c>
      <c r="E8" s="36">
        <v>4</v>
      </c>
      <c r="F8" s="72">
        <v>19</v>
      </c>
      <c r="G8" s="72">
        <v>30</v>
      </c>
      <c r="H8" s="72">
        <v>0</v>
      </c>
      <c r="I8" s="72">
        <v>0</v>
      </c>
      <c r="J8" s="72">
        <v>50</v>
      </c>
      <c r="K8" s="72">
        <v>3</v>
      </c>
      <c r="L8" s="72">
        <v>6</v>
      </c>
      <c r="M8" s="4">
        <f>SUM(C8:L8)</f>
        <v>129</v>
      </c>
    </row>
    <row r="9" spans="1:18" ht="13.5" thickBot="1" x14ac:dyDescent="0.25">
      <c r="A9" s="38"/>
      <c r="B9" s="57" t="s">
        <v>157</v>
      </c>
      <c r="C9" s="3">
        <v>7</v>
      </c>
      <c r="D9" s="3">
        <v>0</v>
      </c>
      <c r="E9" s="3">
        <v>5</v>
      </c>
      <c r="F9" s="3">
        <v>70</v>
      </c>
      <c r="G9" s="3">
        <v>5</v>
      </c>
      <c r="H9" s="3">
        <v>0</v>
      </c>
      <c r="I9" s="3">
        <v>0</v>
      </c>
      <c r="J9" s="3">
        <v>28</v>
      </c>
      <c r="K9" s="3">
        <v>0</v>
      </c>
      <c r="L9" s="3"/>
      <c r="M9" s="3">
        <f>SUM(C9:K9)</f>
        <v>115</v>
      </c>
    </row>
    <row r="10" spans="1:18" ht="13.5" thickTop="1" x14ac:dyDescent="0.2">
      <c r="A10" s="48"/>
      <c r="B10" s="65" t="s">
        <v>14</v>
      </c>
      <c r="C10" s="45">
        <f>SUM(C7:C9)</f>
        <v>71</v>
      </c>
      <c r="D10" s="45">
        <f t="shared" ref="D10:M10" si="0">SUM(D7:D9)</f>
        <v>22</v>
      </c>
      <c r="E10" s="45">
        <f t="shared" si="0"/>
        <v>118</v>
      </c>
      <c r="F10" s="45">
        <f t="shared" si="0"/>
        <v>351</v>
      </c>
      <c r="G10" s="45">
        <f t="shared" si="0"/>
        <v>110</v>
      </c>
      <c r="H10" s="45">
        <f t="shared" si="0"/>
        <v>0</v>
      </c>
      <c r="I10" s="45">
        <f t="shared" si="0"/>
        <v>0</v>
      </c>
      <c r="J10" s="45">
        <f t="shared" si="0"/>
        <v>272</v>
      </c>
      <c r="K10" s="45">
        <f t="shared" si="0"/>
        <v>18</v>
      </c>
      <c r="L10" s="45">
        <f t="shared" si="0"/>
        <v>6</v>
      </c>
      <c r="M10" s="45">
        <f t="shared" si="0"/>
        <v>968</v>
      </c>
    </row>
    <row r="11" spans="1:18" x14ac:dyDescent="0.2">
      <c r="B11" s="1"/>
      <c r="D11" s="2"/>
    </row>
    <row r="12" spans="1:18" x14ac:dyDescent="0.2">
      <c r="A12" s="181" t="s">
        <v>52</v>
      </c>
      <c r="B12" s="181"/>
      <c r="C12" s="40">
        <v>3255</v>
      </c>
      <c r="D12" s="66">
        <v>82</v>
      </c>
      <c r="E12" s="40">
        <v>14691</v>
      </c>
      <c r="F12" s="66">
        <v>11911</v>
      </c>
      <c r="G12" s="66">
        <v>9413</v>
      </c>
      <c r="H12" s="66">
        <v>104</v>
      </c>
      <c r="I12" s="66">
        <v>60</v>
      </c>
      <c r="J12" s="66">
        <v>11065</v>
      </c>
      <c r="K12" s="66">
        <v>1908</v>
      </c>
      <c r="L12" s="66"/>
      <c r="M12" s="66">
        <f>SUM(C12:K12)</f>
        <v>52489</v>
      </c>
      <c r="N12" s="27"/>
    </row>
    <row r="13" spans="1:18" x14ac:dyDescent="0.2">
      <c r="A13" s="70" t="s">
        <v>122</v>
      </c>
      <c r="B13" s="50"/>
      <c r="C13" s="70"/>
      <c r="D13" s="40"/>
      <c r="E13" s="40"/>
      <c r="F13" s="66"/>
      <c r="G13" s="66"/>
      <c r="H13" s="66"/>
      <c r="I13" s="66"/>
      <c r="J13" s="66"/>
      <c r="K13" s="66"/>
      <c r="L13" s="66"/>
      <c r="R13" s="94"/>
    </row>
    <row r="16" spans="1:18" x14ac:dyDescent="0.2">
      <c r="A16" s="181" t="s">
        <v>55</v>
      </c>
      <c r="B16" s="181"/>
      <c r="C16" s="181"/>
      <c r="G16" s="1"/>
      <c r="H16" s="1"/>
      <c r="I16" s="1"/>
      <c r="J16" s="5"/>
    </row>
    <row r="17" spans="1:13" x14ac:dyDescent="0.2">
      <c r="C17" s="1" t="s">
        <v>3</v>
      </c>
      <c r="D17" s="1" t="s">
        <v>4</v>
      </c>
      <c r="E17" s="1" t="s">
        <v>0</v>
      </c>
      <c r="F17" s="1" t="s">
        <v>1</v>
      </c>
      <c r="G17" s="1" t="s">
        <v>2</v>
      </c>
      <c r="H17" s="1" t="s">
        <v>5</v>
      </c>
      <c r="I17" s="1" t="s">
        <v>6</v>
      </c>
      <c r="J17" s="1" t="s">
        <v>28</v>
      </c>
      <c r="K17" s="1" t="s">
        <v>40</v>
      </c>
      <c r="L17" s="1" t="s">
        <v>14</v>
      </c>
    </row>
    <row r="18" spans="1:13" x14ac:dyDescent="0.2">
      <c r="A18" s="186" t="s">
        <v>8</v>
      </c>
      <c r="B18" s="187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1:13" x14ac:dyDescent="0.2">
      <c r="A19" s="71"/>
      <c r="B19" s="57" t="s">
        <v>12</v>
      </c>
      <c r="C19" s="36">
        <v>68</v>
      </c>
      <c r="D19" s="36">
        <v>1</v>
      </c>
      <c r="E19" s="36">
        <v>134</v>
      </c>
      <c r="F19" s="4">
        <v>176</v>
      </c>
      <c r="G19" s="4">
        <v>110</v>
      </c>
      <c r="H19" s="4">
        <v>1</v>
      </c>
      <c r="I19" s="4">
        <v>5</v>
      </c>
      <c r="J19" s="4">
        <v>75</v>
      </c>
      <c r="K19" s="4">
        <v>48</v>
      </c>
      <c r="L19" s="43">
        <f>SUM(C19:K19)</f>
        <v>618</v>
      </c>
    </row>
    <row r="20" spans="1:13" x14ac:dyDescent="0.2">
      <c r="A20" s="38"/>
      <c r="B20" s="36" t="s">
        <v>13</v>
      </c>
      <c r="C20" s="36">
        <v>1</v>
      </c>
      <c r="D20" s="36">
        <v>0</v>
      </c>
      <c r="E20" s="4">
        <v>1</v>
      </c>
      <c r="F20" s="4">
        <v>0</v>
      </c>
      <c r="G20" s="4">
        <v>1</v>
      </c>
      <c r="H20" s="4">
        <v>0</v>
      </c>
      <c r="I20" s="4">
        <v>0</v>
      </c>
      <c r="J20" s="4">
        <v>0</v>
      </c>
      <c r="K20" s="4">
        <v>4</v>
      </c>
      <c r="L20" s="61">
        <f>SUM(C20:K20)</f>
        <v>7</v>
      </c>
    </row>
    <row r="21" spans="1:13" x14ac:dyDescent="0.2">
      <c r="A21" s="38"/>
      <c r="B21" s="36" t="s">
        <v>11</v>
      </c>
      <c r="C21" s="4">
        <v>1</v>
      </c>
      <c r="D21" s="4">
        <v>0</v>
      </c>
      <c r="E21" s="4">
        <v>18</v>
      </c>
      <c r="F21" s="4">
        <v>16</v>
      </c>
      <c r="G21" s="4">
        <v>19</v>
      </c>
      <c r="H21" s="4">
        <v>1</v>
      </c>
      <c r="I21" s="4">
        <v>0</v>
      </c>
      <c r="J21" s="4">
        <v>29</v>
      </c>
      <c r="K21" s="4">
        <v>0</v>
      </c>
      <c r="L21" s="61">
        <f>SUM(C21:K21)</f>
        <v>84</v>
      </c>
    </row>
    <row r="22" spans="1:13" x14ac:dyDescent="0.2">
      <c r="A22" s="38"/>
      <c r="B22" s="36" t="s">
        <v>10</v>
      </c>
      <c r="C22" s="4">
        <v>4</v>
      </c>
      <c r="D22" s="4">
        <v>3</v>
      </c>
      <c r="E22" s="4">
        <v>13</v>
      </c>
      <c r="F22" s="4">
        <v>59</v>
      </c>
      <c r="G22" s="4">
        <v>18</v>
      </c>
      <c r="H22" s="4">
        <v>2</v>
      </c>
      <c r="I22" s="4">
        <v>2</v>
      </c>
      <c r="J22" s="4">
        <v>30</v>
      </c>
      <c r="K22" s="4">
        <v>5</v>
      </c>
      <c r="L22" s="61">
        <f>SUM(C22:K22)</f>
        <v>136</v>
      </c>
    </row>
    <row r="23" spans="1:13" ht="13.5" thickBot="1" x14ac:dyDescent="0.25">
      <c r="A23" s="38"/>
      <c r="B23" s="36" t="s">
        <v>9</v>
      </c>
      <c r="C23" s="3">
        <v>136</v>
      </c>
      <c r="D23" s="3">
        <v>75</v>
      </c>
      <c r="E23" s="3">
        <v>360</v>
      </c>
      <c r="F23" s="3">
        <v>395</v>
      </c>
      <c r="G23" s="3">
        <v>221</v>
      </c>
      <c r="H23" s="3">
        <v>15</v>
      </c>
      <c r="I23" s="3">
        <v>15</v>
      </c>
      <c r="J23" s="3">
        <v>657</v>
      </c>
      <c r="K23" s="3">
        <v>183</v>
      </c>
      <c r="L23" s="59">
        <f>SUM(C23:K23)</f>
        <v>2057</v>
      </c>
    </row>
    <row r="24" spans="1:13" ht="13.5" thickTop="1" x14ac:dyDescent="0.2">
      <c r="A24" s="38"/>
      <c r="B24" s="60" t="s">
        <v>14</v>
      </c>
      <c r="C24" s="36">
        <f>SUM(C19:C23)</f>
        <v>210</v>
      </c>
      <c r="D24" s="36">
        <f t="shared" ref="D24:L24" si="1">SUM(D19:D23)</f>
        <v>79</v>
      </c>
      <c r="E24" s="36">
        <f t="shared" si="1"/>
        <v>526</v>
      </c>
      <c r="F24" s="36">
        <f t="shared" si="1"/>
        <v>646</v>
      </c>
      <c r="G24" s="36">
        <f t="shared" si="1"/>
        <v>369</v>
      </c>
      <c r="H24" s="36">
        <f t="shared" si="1"/>
        <v>19</v>
      </c>
      <c r="I24" s="36">
        <f t="shared" si="1"/>
        <v>22</v>
      </c>
      <c r="J24" s="36">
        <f t="shared" si="1"/>
        <v>791</v>
      </c>
      <c r="K24" s="36">
        <f t="shared" si="1"/>
        <v>240</v>
      </c>
      <c r="L24" s="36">
        <f t="shared" si="1"/>
        <v>2902</v>
      </c>
    </row>
    <row r="25" spans="1:13" x14ac:dyDescent="0.2">
      <c r="A25" s="48"/>
      <c r="B25" s="62" t="s">
        <v>51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3" x14ac:dyDescent="0.2">
      <c r="B26" s="4"/>
      <c r="L26" t="s">
        <v>138</v>
      </c>
      <c r="M26" s="209" t="s">
        <v>14</v>
      </c>
    </row>
    <row r="27" spans="1:13" x14ac:dyDescent="0.2">
      <c r="A27" s="181" t="s">
        <v>35</v>
      </c>
      <c r="B27" s="188"/>
      <c r="C27" s="87">
        <v>28</v>
      </c>
      <c r="D27" s="87">
        <v>0</v>
      </c>
      <c r="E27" s="87">
        <v>15</v>
      </c>
      <c r="F27" s="87">
        <v>19</v>
      </c>
      <c r="G27" s="87">
        <v>7</v>
      </c>
      <c r="H27" s="87">
        <v>0</v>
      </c>
      <c r="I27" s="87">
        <v>0</v>
      </c>
      <c r="J27" s="87">
        <v>171.75</v>
      </c>
      <c r="K27" s="87">
        <v>0</v>
      </c>
      <c r="L27" s="87">
        <v>0</v>
      </c>
      <c r="M27" s="250">
        <f>SUM(C27:L27)</f>
        <v>240.75</v>
      </c>
    </row>
    <row r="29" spans="1:13" x14ac:dyDescent="0.2">
      <c r="A29" s="181" t="s">
        <v>66</v>
      </c>
      <c r="B29" s="181"/>
      <c r="C29" s="181"/>
    </row>
    <row r="30" spans="1:13" x14ac:dyDescent="0.2">
      <c r="B30" s="40"/>
      <c r="C30" s="50" t="s">
        <v>3</v>
      </c>
      <c r="D30" s="50" t="s">
        <v>4</v>
      </c>
      <c r="E30" s="50" t="s">
        <v>0</v>
      </c>
      <c r="F30" s="50" t="s">
        <v>1</v>
      </c>
      <c r="G30" s="50" t="s">
        <v>2</v>
      </c>
      <c r="H30" s="50" t="s">
        <v>5</v>
      </c>
      <c r="I30" s="50" t="s">
        <v>6</v>
      </c>
      <c r="J30" s="50" t="s">
        <v>28</v>
      </c>
      <c r="K30" s="50" t="s">
        <v>40</v>
      </c>
      <c r="L30" s="50" t="s">
        <v>14</v>
      </c>
    </row>
    <row r="31" spans="1:13" x14ac:dyDescent="0.2">
      <c r="B31" s="60" t="s">
        <v>17</v>
      </c>
      <c r="C31" s="36">
        <v>29</v>
      </c>
      <c r="D31" s="36">
        <v>3</v>
      </c>
      <c r="E31" s="36">
        <v>95</v>
      </c>
      <c r="F31" s="4">
        <v>175</v>
      </c>
      <c r="G31" s="4">
        <v>144</v>
      </c>
      <c r="H31" s="4">
        <v>252</v>
      </c>
      <c r="I31" s="4">
        <v>4</v>
      </c>
      <c r="J31" s="4">
        <v>176</v>
      </c>
      <c r="K31" s="4">
        <v>2</v>
      </c>
      <c r="L31" s="4">
        <f>SUM(C31:K31)</f>
        <v>880</v>
      </c>
    </row>
    <row r="32" spans="1:13" x14ac:dyDescent="0.2">
      <c r="B32" s="60" t="s">
        <v>18</v>
      </c>
      <c r="C32" s="36">
        <v>39</v>
      </c>
      <c r="D32" s="36">
        <v>13</v>
      </c>
      <c r="E32" s="36">
        <v>22</v>
      </c>
      <c r="F32" s="4">
        <v>65</v>
      </c>
      <c r="G32" s="4">
        <v>44</v>
      </c>
      <c r="H32" s="4">
        <v>1</v>
      </c>
      <c r="I32" s="4">
        <v>0</v>
      </c>
      <c r="J32" s="4">
        <v>32</v>
      </c>
      <c r="K32" s="4">
        <v>2</v>
      </c>
      <c r="L32" s="4">
        <f>SUM(C32:K32)</f>
        <v>218</v>
      </c>
    </row>
    <row r="33" spans="1:12" x14ac:dyDescent="0.2">
      <c r="B33" s="60" t="s">
        <v>20</v>
      </c>
      <c r="C33" s="36">
        <v>135</v>
      </c>
      <c r="D33" s="36">
        <v>202</v>
      </c>
      <c r="E33" s="36">
        <v>669</v>
      </c>
      <c r="F33" s="36">
        <v>360</v>
      </c>
      <c r="G33" s="4">
        <v>293</v>
      </c>
      <c r="H33" s="4">
        <v>8</v>
      </c>
      <c r="I33" s="4">
        <v>3</v>
      </c>
      <c r="J33" s="4">
        <v>272</v>
      </c>
      <c r="K33" s="4">
        <v>22</v>
      </c>
      <c r="L33" s="4">
        <v>0</v>
      </c>
    </row>
    <row r="34" spans="1:12" x14ac:dyDescent="0.2">
      <c r="B34" s="60" t="s">
        <v>113</v>
      </c>
      <c r="C34" s="4">
        <f>42+27</f>
        <v>69</v>
      </c>
      <c r="D34" s="4">
        <v>30</v>
      </c>
      <c r="E34" s="4">
        <f>25+18</f>
        <v>43</v>
      </c>
      <c r="F34" s="4">
        <f>50+47</f>
        <v>97</v>
      </c>
      <c r="G34" s="4">
        <f>36+10</f>
        <v>46</v>
      </c>
      <c r="H34" s="4">
        <f>15+63</f>
        <v>78</v>
      </c>
      <c r="I34" s="4">
        <v>0</v>
      </c>
      <c r="J34" s="4">
        <f>24+36</f>
        <v>60</v>
      </c>
      <c r="K34" s="4">
        <f>9+6</f>
        <v>15</v>
      </c>
      <c r="L34" s="4">
        <f>SUM(C34:K34)</f>
        <v>438</v>
      </c>
    </row>
    <row r="35" spans="1:12" ht="13.5" thickBot="1" x14ac:dyDescent="0.25">
      <c r="B35" s="16" t="s">
        <v>19</v>
      </c>
      <c r="C35" s="3">
        <f>SUM(C76)</f>
        <v>58</v>
      </c>
      <c r="D35" s="3">
        <f>SUM(D76)</f>
        <v>35</v>
      </c>
      <c r="E35" s="3">
        <f t="shared" ref="E35:K35" si="2">SUM(E76)</f>
        <v>83</v>
      </c>
      <c r="F35" s="3">
        <f t="shared" si="2"/>
        <v>193</v>
      </c>
      <c r="G35" s="3">
        <f t="shared" si="2"/>
        <v>87</v>
      </c>
      <c r="H35" s="3">
        <f t="shared" si="2"/>
        <v>47</v>
      </c>
      <c r="I35" s="3">
        <f t="shared" si="2"/>
        <v>55</v>
      </c>
      <c r="J35" s="3">
        <f t="shared" si="2"/>
        <v>230</v>
      </c>
      <c r="K35" s="3">
        <f t="shared" si="2"/>
        <v>62</v>
      </c>
      <c r="L35" s="122">
        <f>SUM(C35:K35)</f>
        <v>850</v>
      </c>
    </row>
    <row r="36" spans="1:12" ht="13.5" thickTop="1" x14ac:dyDescent="0.2">
      <c r="B36" s="65" t="s">
        <v>14</v>
      </c>
      <c r="C36" s="45">
        <f t="shared" ref="C36:K36" si="3">SUM(C31:C35)</f>
        <v>330</v>
      </c>
      <c r="D36" s="45">
        <f t="shared" si="3"/>
        <v>283</v>
      </c>
      <c r="E36" s="45">
        <f t="shared" si="3"/>
        <v>912</v>
      </c>
      <c r="F36" s="45">
        <f t="shared" si="3"/>
        <v>890</v>
      </c>
      <c r="G36" s="45">
        <f t="shared" si="3"/>
        <v>614</v>
      </c>
      <c r="H36" s="45">
        <f t="shared" si="3"/>
        <v>386</v>
      </c>
      <c r="I36" s="45">
        <f t="shared" si="3"/>
        <v>62</v>
      </c>
      <c r="J36" s="45">
        <f t="shared" si="3"/>
        <v>770</v>
      </c>
      <c r="K36" s="45">
        <f t="shared" si="3"/>
        <v>103</v>
      </c>
      <c r="L36" s="62">
        <f>SUM(C36:K36)</f>
        <v>4350</v>
      </c>
    </row>
    <row r="38" spans="1:12" x14ac:dyDescent="0.2">
      <c r="A38" s="186" t="s">
        <v>57</v>
      </c>
      <c r="B38" s="187"/>
      <c r="C38" s="40">
        <v>3</v>
      </c>
      <c r="D38" s="40">
        <v>0</v>
      </c>
      <c r="E38" s="40">
        <v>15</v>
      </c>
      <c r="F38" s="66">
        <v>12</v>
      </c>
      <c r="G38" s="66">
        <v>21</v>
      </c>
      <c r="H38" s="66">
        <v>0</v>
      </c>
      <c r="I38" s="66">
        <v>0</v>
      </c>
      <c r="J38" s="66">
        <v>5</v>
      </c>
      <c r="K38" s="66">
        <v>0</v>
      </c>
      <c r="L38" s="66">
        <f>SUM(C38:K38)</f>
        <v>56</v>
      </c>
    </row>
    <row r="39" spans="1:12" ht="13.5" thickBot="1" x14ac:dyDescent="0.25">
      <c r="A39" s="190" t="s">
        <v>158</v>
      </c>
      <c r="B39" s="191"/>
      <c r="C39" s="3">
        <v>0</v>
      </c>
      <c r="D39" s="3">
        <v>0</v>
      </c>
      <c r="E39" s="3">
        <v>0</v>
      </c>
      <c r="F39" s="3">
        <v>27</v>
      </c>
      <c r="G39" s="3">
        <v>54</v>
      </c>
      <c r="H39" s="3">
        <v>2</v>
      </c>
      <c r="I39" s="3">
        <v>0</v>
      </c>
      <c r="J39" s="3">
        <v>382</v>
      </c>
      <c r="K39" s="3">
        <v>0</v>
      </c>
      <c r="L39" s="122">
        <f>SUM(C39:K39)</f>
        <v>465</v>
      </c>
    </row>
    <row r="40" spans="1:12" ht="13.5" thickTop="1" x14ac:dyDescent="0.2">
      <c r="A40" s="71"/>
      <c r="B40" s="60" t="s">
        <v>7</v>
      </c>
      <c r="C40" s="36">
        <f>SUM(C38:C39)</f>
        <v>3</v>
      </c>
      <c r="D40" s="36">
        <f t="shared" ref="D40:K40" si="4">SUM(D38:D39)</f>
        <v>0</v>
      </c>
      <c r="E40" s="36">
        <f t="shared" si="4"/>
        <v>15</v>
      </c>
      <c r="F40" s="36">
        <f t="shared" si="4"/>
        <v>39</v>
      </c>
      <c r="G40" s="36">
        <f t="shared" si="4"/>
        <v>75</v>
      </c>
      <c r="H40" s="36">
        <f t="shared" si="4"/>
        <v>2</v>
      </c>
      <c r="I40" s="36">
        <f t="shared" si="4"/>
        <v>0</v>
      </c>
      <c r="J40" s="36">
        <f t="shared" si="4"/>
        <v>387</v>
      </c>
      <c r="K40" s="36">
        <f t="shared" si="4"/>
        <v>0</v>
      </c>
      <c r="L40" s="128">
        <f>SUM(L38:L39)</f>
        <v>521</v>
      </c>
    </row>
    <row r="41" spans="1:12" x14ac:dyDescent="0.2">
      <c r="A41" s="71"/>
      <c r="B41" s="60"/>
      <c r="C41" s="36"/>
      <c r="D41" s="36"/>
      <c r="E41" s="36"/>
      <c r="F41" s="128"/>
      <c r="G41" s="128"/>
      <c r="H41" s="128"/>
      <c r="I41" s="128"/>
      <c r="J41" s="128"/>
      <c r="K41" s="128"/>
      <c r="L41" s="128"/>
    </row>
    <row r="42" spans="1:12" x14ac:dyDescent="0.2">
      <c r="A42" s="186" t="s">
        <v>56</v>
      </c>
      <c r="B42" s="187"/>
      <c r="C42" s="45">
        <v>0</v>
      </c>
      <c r="D42" s="45"/>
      <c r="E42" s="45">
        <v>7</v>
      </c>
      <c r="F42" s="68">
        <v>0</v>
      </c>
      <c r="G42" s="68">
        <v>0</v>
      </c>
      <c r="H42" s="68"/>
      <c r="I42" s="68">
        <v>0</v>
      </c>
      <c r="J42" s="68">
        <v>44</v>
      </c>
      <c r="K42" s="68">
        <v>0</v>
      </c>
      <c r="L42" s="68">
        <f>SUM(C42:K42)</f>
        <v>51</v>
      </c>
    </row>
    <row r="43" spans="1:12" x14ac:dyDescent="0.2">
      <c r="A43" s="38"/>
    </row>
    <row r="44" spans="1:12" x14ac:dyDescent="0.2">
      <c r="A44" s="186" t="s">
        <v>21</v>
      </c>
      <c r="B44" s="192"/>
      <c r="C44" s="40">
        <v>0</v>
      </c>
      <c r="D44" s="40">
        <v>0</v>
      </c>
      <c r="E44" s="40">
        <v>0</v>
      </c>
      <c r="F44" s="40">
        <v>1</v>
      </c>
      <c r="G44" s="40">
        <v>0</v>
      </c>
      <c r="H44" s="40">
        <v>0</v>
      </c>
      <c r="I44" s="40">
        <v>0</v>
      </c>
      <c r="J44" s="40">
        <v>1</v>
      </c>
      <c r="K44" s="40">
        <v>3</v>
      </c>
      <c r="L44" s="40">
        <f>SUM(C44:K44)</f>
        <v>5</v>
      </c>
    </row>
    <row r="45" spans="1:12" x14ac:dyDescent="0.2">
      <c r="A45" s="69" t="s">
        <v>22</v>
      </c>
      <c r="B45" s="65"/>
      <c r="C45" s="45">
        <v>0</v>
      </c>
      <c r="D45" s="45">
        <v>0</v>
      </c>
      <c r="E45" s="45">
        <v>0</v>
      </c>
      <c r="F45" s="45">
        <v>10</v>
      </c>
      <c r="G45" s="45">
        <v>0</v>
      </c>
      <c r="H45" s="45">
        <v>0</v>
      </c>
      <c r="I45" s="45">
        <v>0</v>
      </c>
      <c r="J45" s="45">
        <v>15</v>
      </c>
      <c r="K45" s="45">
        <v>21</v>
      </c>
      <c r="L45" s="45">
        <f>SUM(C45:K45)</f>
        <v>46</v>
      </c>
    </row>
    <row r="46" spans="1:12" x14ac:dyDescent="0.2">
      <c r="A46" s="38"/>
    </row>
    <row r="47" spans="1:12" x14ac:dyDescent="0.2">
      <c r="A47" s="200" t="s">
        <v>19</v>
      </c>
    </row>
    <row r="48" spans="1:12" x14ac:dyDescent="0.2">
      <c r="B48" s="58"/>
      <c r="C48" s="50" t="s">
        <v>3</v>
      </c>
      <c r="D48" s="50" t="s">
        <v>4</v>
      </c>
      <c r="E48" s="50" t="s">
        <v>0</v>
      </c>
      <c r="F48" s="50" t="s">
        <v>1</v>
      </c>
      <c r="G48" s="50" t="s">
        <v>2</v>
      </c>
      <c r="H48" s="50" t="s">
        <v>5</v>
      </c>
      <c r="I48" s="50" t="s">
        <v>6</v>
      </c>
      <c r="J48" s="50" t="s">
        <v>28</v>
      </c>
      <c r="K48" s="50" t="s">
        <v>40</v>
      </c>
      <c r="L48" s="50" t="s">
        <v>14</v>
      </c>
    </row>
    <row r="49" spans="2:12" x14ac:dyDescent="0.2">
      <c r="B49" s="38" t="s">
        <v>73</v>
      </c>
      <c r="C49" s="36">
        <v>2</v>
      </c>
      <c r="D49" s="36"/>
      <c r="E49" s="36">
        <v>2</v>
      </c>
      <c r="F49" s="4">
        <v>9</v>
      </c>
      <c r="G49" s="4">
        <v>2</v>
      </c>
      <c r="H49" s="4">
        <v>7</v>
      </c>
      <c r="I49" s="4"/>
      <c r="J49" s="4">
        <v>14</v>
      </c>
      <c r="K49" s="4">
        <v>5</v>
      </c>
      <c r="L49" s="4">
        <f t="shared" ref="L49:L76" si="5">SUM(C49:K49)</f>
        <v>41</v>
      </c>
    </row>
    <row r="50" spans="2:12" x14ac:dyDescent="0.2">
      <c r="B50" s="42" t="s">
        <v>119</v>
      </c>
      <c r="C50" s="36"/>
      <c r="D50" s="36">
        <v>1</v>
      </c>
      <c r="E50" s="4">
        <v>2</v>
      </c>
      <c r="F50" s="36">
        <v>9</v>
      </c>
      <c r="G50" s="4">
        <v>3</v>
      </c>
      <c r="H50" s="36"/>
      <c r="I50" s="4">
        <v>1</v>
      </c>
      <c r="J50" s="36">
        <v>2</v>
      </c>
      <c r="K50" s="36"/>
      <c r="L50" s="4">
        <f t="shared" si="5"/>
        <v>18</v>
      </c>
    </row>
    <row r="51" spans="2:12" x14ac:dyDescent="0.2">
      <c r="B51" s="42" t="s">
        <v>108</v>
      </c>
      <c r="C51" s="36">
        <v>14</v>
      </c>
      <c r="D51" s="36"/>
      <c r="E51" s="36"/>
      <c r="F51" s="36">
        <v>23</v>
      </c>
      <c r="G51" s="36">
        <v>1</v>
      </c>
      <c r="H51" s="4"/>
      <c r="I51" s="36"/>
      <c r="J51" s="4">
        <v>22</v>
      </c>
      <c r="K51" s="4"/>
      <c r="L51" s="4">
        <f t="shared" si="5"/>
        <v>60</v>
      </c>
    </row>
    <row r="52" spans="2:12" x14ac:dyDescent="0.2">
      <c r="B52" s="42" t="s">
        <v>144</v>
      </c>
      <c r="C52" s="36"/>
      <c r="D52" s="36">
        <v>3</v>
      </c>
      <c r="E52" s="36"/>
      <c r="F52" s="36"/>
      <c r="G52" s="36"/>
      <c r="H52" s="36"/>
      <c r="I52" s="36"/>
      <c r="J52" s="4"/>
      <c r="K52" s="4"/>
      <c r="L52" s="4">
        <f t="shared" si="5"/>
        <v>3</v>
      </c>
    </row>
    <row r="53" spans="2:12" x14ac:dyDescent="0.2">
      <c r="B53" s="42" t="s">
        <v>159</v>
      </c>
      <c r="C53" s="4"/>
      <c r="D53" s="36"/>
      <c r="E53" s="36"/>
      <c r="F53" s="36"/>
      <c r="G53" s="4">
        <v>6</v>
      </c>
      <c r="H53" s="36">
        <v>2</v>
      </c>
      <c r="I53" s="36"/>
      <c r="J53" s="4">
        <v>10</v>
      </c>
      <c r="K53" s="4">
        <v>3</v>
      </c>
      <c r="L53" s="4">
        <f t="shared" si="5"/>
        <v>21</v>
      </c>
    </row>
    <row r="54" spans="2:12" x14ac:dyDescent="0.2">
      <c r="B54" s="42" t="s">
        <v>109</v>
      </c>
      <c r="C54" s="4">
        <v>4</v>
      </c>
      <c r="D54" s="36"/>
      <c r="E54" s="4"/>
      <c r="F54" s="4"/>
      <c r="G54" s="36"/>
      <c r="H54" s="36"/>
      <c r="I54" s="36"/>
      <c r="J54" s="4"/>
      <c r="K54" s="36"/>
      <c r="L54" s="4">
        <f t="shared" si="5"/>
        <v>4</v>
      </c>
    </row>
    <row r="55" spans="2:12" x14ac:dyDescent="0.2">
      <c r="B55" s="42" t="s">
        <v>160</v>
      </c>
      <c r="C55" s="36"/>
      <c r="D55" s="36"/>
      <c r="E55" s="4"/>
      <c r="F55" s="4"/>
      <c r="G55" s="36"/>
      <c r="H55" s="36"/>
      <c r="I55" s="36"/>
      <c r="J55" s="4"/>
      <c r="K55" s="36"/>
      <c r="L55" s="4">
        <f t="shared" si="5"/>
        <v>0</v>
      </c>
    </row>
    <row r="56" spans="2:12" x14ac:dyDescent="0.2">
      <c r="B56" s="42" t="s">
        <v>93</v>
      </c>
      <c r="C56" s="36">
        <v>3</v>
      </c>
      <c r="D56" s="36">
        <v>2</v>
      </c>
      <c r="E56" s="4">
        <v>2</v>
      </c>
      <c r="F56" s="4">
        <v>1</v>
      </c>
      <c r="G56" s="4"/>
      <c r="H56" s="4"/>
      <c r="I56" s="4"/>
      <c r="J56" s="4">
        <v>2</v>
      </c>
      <c r="K56" s="4">
        <v>3</v>
      </c>
      <c r="L56" s="4">
        <f t="shared" si="5"/>
        <v>13</v>
      </c>
    </row>
    <row r="57" spans="2:12" x14ac:dyDescent="0.2">
      <c r="B57" s="42" t="s">
        <v>130</v>
      </c>
      <c r="C57" s="36"/>
      <c r="D57" s="36"/>
      <c r="E57" s="36"/>
      <c r="F57" s="4"/>
      <c r="G57" s="4"/>
      <c r="H57" s="4"/>
      <c r="I57" s="36"/>
      <c r="J57" s="36"/>
      <c r="K57" s="4"/>
      <c r="L57" s="4">
        <f t="shared" si="5"/>
        <v>0</v>
      </c>
    </row>
    <row r="58" spans="2:12" x14ac:dyDescent="0.2">
      <c r="B58" s="42" t="s">
        <v>107</v>
      </c>
      <c r="C58" s="36"/>
      <c r="D58" s="36">
        <v>1</v>
      </c>
      <c r="E58" s="4"/>
      <c r="F58" s="4"/>
      <c r="G58" s="4"/>
      <c r="H58" s="4"/>
      <c r="I58" s="36"/>
      <c r="J58" s="4"/>
      <c r="K58" s="4"/>
      <c r="L58" s="4">
        <f t="shared" si="5"/>
        <v>1</v>
      </c>
    </row>
    <row r="59" spans="2:12" x14ac:dyDescent="0.2">
      <c r="B59" s="42" t="s">
        <v>110</v>
      </c>
      <c r="C59" s="36">
        <v>3</v>
      </c>
      <c r="D59" s="36"/>
      <c r="E59" s="4"/>
      <c r="F59" s="4">
        <v>7</v>
      </c>
      <c r="G59" s="4">
        <v>1</v>
      </c>
      <c r="H59" s="4">
        <v>1</v>
      </c>
      <c r="I59" s="36"/>
      <c r="J59" s="4">
        <v>4</v>
      </c>
      <c r="K59" s="4">
        <v>2</v>
      </c>
      <c r="L59" s="4">
        <f t="shared" si="5"/>
        <v>18</v>
      </c>
    </row>
    <row r="60" spans="2:12" x14ac:dyDescent="0.2">
      <c r="B60" s="42" t="s">
        <v>95</v>
      </c>
      <c r="C60" s="36"/>
      <c r="D60" s="36"/>
      <c r="E60" s="36"/>
      <c r="F60" s="36"/>
      <c r="G60" s="4"/>
      <c r="H60" s="4"/>
      <c r="I60" s="36"/>
      <c r="J60" s="4"/>
      <c r="K60" s="4"/>
      <c r="L60" s="4">
        <f t="shared" si="5"/>
        <v>0</v>
      </c>
    </row>
    <row r="61" spans="2:12" x14ac:dyDescent="0.2">
      <c r="B61" s="38" t="s">
        <v>42</v>
      </c>
      <c r="C61" s="36">
        <v>5</v>
      </c>
      <c r="D61" s="36">
        <v>4</v>
      </c>
      <c r="E61" s="4">
        <v>14</v>
      </c>
      <c r="F61" s="4">
        <v>30</v>
      </c>
      <c r="G61" s="4">
        <v>22</v>
      </c>
      <c r="H61" s="4">
        <v>11</v>
      </c>
      <c r="I61" s="4">
        <v>21</v>
      </c>
      <c r="J61" s="4">
        <v>34</v>
      </c>
      <c r="K61" s="4">
        <v>8</v>
      </c>
      <c r="L61" s="4">
        <f t="shared" si="5"/>
        <v>149</v>
      </c>
    </row>
    <row r="62" spans="2:12" x14ac:dyDescent="0.2">
      <c r="B62" s="38" t="s">
        <v>41</v>
      </c>
      <c r="C62" s="36"/>
      <c r="D62" s="36"/>
      <c r="E62" s="4"/>
      <c r="F62" s="36"/>
      <c r="G62" s="4"/>
      <c r="H62" s="4"/>
      <c r="I62" s="4"/>
      <c r="J62" s="4"/>
      <c r="K62" s="4"/>
      <c r="L62" s="4">
        <f t="shared" si="5"/>
        <v>0</v>
      </c>
    </row>
    <row r="63" spans="2:12" x14ac:dyDescent="0.2">
      <c r="B63" s="38" t="s">
        <v>135</v>
      </c>
      <c r="C63" s="36"/>
      <c r="D63" s="36"/>
      <c r="E63" s="4"/>
      <c r="F63" s="4"/>
      <c r="G63" s="4"/>
      <c r="H63" s="4"/>
      <c r="I63" s="4"/>
      <c r="J63" s="4"/>
      <c r="K63" s="4"/>
      <c r="L63" s="4">
        <f t="shared" si="5"/>
        <v>0</v>
      </c>
    </row>
    <row r="64" spans="2:12" x14ac:dyDescent="0.2">
      <c r="B64" s="38" t="s">
        <v>136</v>
      </c>
      <c r="C64" s="36"/>
      <c r="D64" s="36"/>
      <c r="E64" s="36"/>
      <c r="F64" s="36"/>
      <c r="G64" s="4"/>
      <c r="H64" s="4"/>
      <c r="I64" s="4"/>
      <c r="J64" s="4"/>
      <c r="K64" s="4"/>
      <c r="L64" s="4">
        <f t="shared" si="5"/>
        <v>0</v>
      </c>
    </row>
    <row r="65" spans="1:13" x14ac:dyDescent="0.2">
      <c r="B65" s="42" t="s">
        <v>163</v>
      </c>
      <c r="C65" s="36"/>
      <c r="D65" s="36"/>
      <c r="E65" s="36"/>
      <c r="F65" s="36">
        <v>2</v>
      </c>
      <c r="G65" s="4">
        <v>5</v>
      </c>
      <c r="H65" s="4"/>
      <c r="I65" s="4"/>
      <c r="J65" s="4"/>
      <c r="K65" s="4"/>
      <c r="L65" s="4">
        <f t="shared" si="5"/>
        <v>7</v>
      </c>
    </row>
    <row r="66" spans="1:13" x14ac:dyDescent="0.2">
      <c r="B66" s="38" t="s">
        <v>83</v>
      </c>
      <c r="C66" s="4">
        <v>14</v>
      </c>
      <c r="D66" s="4">
        <v>15</v>
      </c>
      <c r="E66" s="4">
        <v>28</v>
      </c>
      <c r="F66" s="4">
        <v>43</v>
      </c>
      <c r="G66" s="4">
        <v>16</v>
      </c>
      <c r="H66" s="4">
        <v>25</v>
      </c>
      <c r="I66" s="4">
        <v>29</v>
      </c>
      <c r="J66" s="4">
        <v>76</v>
      </c>
      <c r="K66" s="4">
        <v>22</v>
      </c>
      <c r="L66" s="4">
        <f t="shared" si="5"/>
        <v>268</v>
      </c>
    </row>
    <row r="67" spans="1:13" x14ac:dyDescent="0.2">
      <c r="B67" s="42" t="s">
        <v>161</v>
      </c>
      <c r="C67" s="4"/>
      <c r="D67" s="4"/>
      <c r="E67" s="4">
        <v>8</v>
      </c>
      <c r="F67" s="4"/>
      <c r="G67" s="4"/>
      <c r="H67" s="4"/>
      <c r="I67" s="4"/>
      <c r="J67" s="4"/>
      <c r="K67" s="4"/>
      <c r="L67" s="4">
        <f t="shared" si="5"/>
        <v>8</v>
      </c>
    </row>
    <row r="68" spans="1:13" x14ac:dyDescent="0.2">
      <c r="B68" s="42" t="s">
        <v>129</v>
      </c>
      <c r="C68" s="36"/>
      <c r="D68" s="36"/>
      <c r="E68" s="4"/>
      <c r="F68" s="4"/>
      <c r="G68" s="4"/>
      <c r="H68" s="4"/>
      <c r="I68" s="4"/>
      <c r="J68" s="4"/>
      <c r="K68" s="4"/>
      <c r="L68" s="4">
        <f t="shared" si="5"/>
        <v>0</v>
      </c>
    </row>
    <row r="69" spans="1:13" x14ac:dyDescent="0.2">
      <c r="B69" s="42" t="s">
        <v>94</v>
      </c>
      <c r="C69" s="4">
        <v>2</v>
      </c>
      <c r="D69" s="36"/>
      <c r="E69" s="4">
        <v>1</v>
      </c>
      <c r="F69" s="4">
        <v>20</v>
      </c>
      <c r="G69" s="4"/>
      <c r="H69" s="4">
        <v>1</v>
      </c>
      <c r="I69" s="4"/>
      <c r="J69" s="4">
        <v>6</v>
      </c>
      <c r="K69" s="4"/>
      <c r="L69" s="4">
        <f t="shared" si="5"/>
        <v>30</v>
      </c>
    </row>
    <row r="70" spans="1:13" x14ac:dyDescent="0.2">
      <c r="B70" s="42" t="s">
        <v>162</v>
      </c>
      <c r="C70" s="4"/>
      <c r="D70" s="36"/>
      <c r="E70" s="4"/>
      <c r="F70" s="4"/>
      <c r="G70" s="4"/>
      <c r="H70" s="4"/>
      <c r="I70" s="4"/>
      <c r="J70" s="4"/>
      <c r="K70" s="4"/>
      <c r="L70" s="4">
        <f t="shared" si="5"/>
        <v>0</v>
      </c>
    </row>
    <row r="71" spans="1:13" x14ac:dyDescent="0.2">
      <c r="B71" s="42" t="s">
        <v>44</v>
      </c>
      <c r="C71" s="4">
        <v>11</v>
      </c>
      <c r="D71" s="36">
        <v>7</v>
      </c>
      <c r="E71" s="4">
        <v>20</v>
      </c>
      <c r="F71" s="4">
        <v>40</v>
      </c>
      <c r="G71" s="4">
        <v>26</v>
      </c>
      <c r="H71" s="4"/>
      <c r="I71" s="4">
        <v>4</v>
      </c>
      <c r="J71" s="4">
        <v>52</v>
      </c>
      <c r="K71" s="4">
        <v>13</v>
      </c>
      <c r="L71" s="4">
        <f t="shared" si="5"/>
        <v>173</v>
      </c>
    </row>
    <row r="72" spans="1:13" x14ac:dyDescent="0.2">
      <c r="B72" s="42" t="s">
        <v>43</v>
      </c>
      <c r="C72" s="36"/>
      <c r="D72" s="36">
        <v>2</v>
      </c>
      <c r="E72" s="4">
        <v>6</v>
      </c>
      <c r="F72" s="4">
        <v>6</v>
      </c>
      <c r="G72" s="4">
        <v>4</v>
      </c>
      <c r="H72" s="4"/>
      <c r="I72" s="4"/>
      <c r="J72" s="36">
        <v>2</v>
      </c>
      <c r="K72" s="4">
        <v>6</v>
      </c>
      <c r="L72" s="4">
        <f t="shared" si="5"/>
        <v>26</v>
      </c>
    </row>
    <row r="73" spans="1:13" x14ac:dyDescent="0.2">
      <c r="B73" s="42" t="s">
        <v>120</v>
      </c>
      <c r="C73" s="36"/>
      <c r="D73" s="36"/>
      <c r="E73" s="36"/>
      <c r="F73" s="4"/>
      <c r="G73" s="4"/>
      <c r="H73" s="4"/>
      <c r="I73" s="4"/>
      <c r="J73" s="36"/>
      <c r="K73" s="4"/>
      <c r="L73" s="4">
        <f t="shared" si="5"/>
        <v>0</v>
      </c>
    </row>
    <row r="74" spans="1:13" x14ac:dyDescent="0.2">
      <c r="B74" s="38" t="s">
        <v>74</v>
      </c>
      <c r="C74" s="36"/>
      <c r="D74" s="36"/>
      <c r="E74" s="36"/>
      <c r="F74" s="4">
        <v>3</v>
      </c>
      <c r="G74" s="4"/>
      <c r="H74" s="4"/>
      <c r="I74" s="36"/>
      <c r="J74" s="36"/>
      <c r="K74" s="4"/>
      <c r="L74" s="4">
        <f t="shared" si="5"/>
        <v>3</v>
      </c>
    </row>
    <row r="75" spans="1:13" ht="13.5" thickBot="1" x14ac:dyDescent="0.25">
      <c r="B75" s="80" t="s">
        <v>67</v>
      </c>
      <c r="C75" s="3"/>
      <c r="D75" s="3"/>
      <c r="E75" s="3"/>
      <c r="F75" s="3"/>
      <c r="G75" s="3">
        <v>1</v>
      </c>
      <c r="H75" s="3"/>
      <c r="I75" s="3"/>
      <c r="J75" s="3">
        <v>6</v>
      </c>
      <c r="K75" s="3"/>
      <c r="L75" s="4">
        <f t="shared" si="5"/>
        <v>7</v>
      </c>
    </row>
    <row r="76" spans="1:13" ht="13.5" thickTop="1" x14ac:dyDescent="0.2">
      <c r="B76" s="69" t="s">
        <v>7</v>
      </c>
      <c r="C76" s="45">
        <f t="shared" ref="C76:K76" si="6">SUM(C49:C75)</f>
        <v>58</v>
      </c>
      <c r="D76" s="45">
        <f t="shared" si="6"/>
        <v>35</v>
      </c>
      <c r="E76" s="45">
        <f t="shared" si="6"/>
        <v>83</v>
      </c>
      <c r="F76" s="45">
        <f t="shared" si="6"/>
        <v>193</v>
      </c>
      <c r="G76" s="45">
        <f t="shared" si="6"/>
        <v>87</v>
      </c>
      <c r="H76" s="45">
        <f t="shared" si="6"/>
        <v>47</v>
      </c>
      <c r="I76" s="45">
        <f t="shared" si="6"/>
        <v>55</v>
      </c>
      <c r="J76" s="45">
        <f t="shared" si="6"/>
        <v>230</v>
      </c>
      <c r="K76" s="45">
        <f t="shared" si="6"/>
        <v>62</v>
      </c>
      <c r="L76" s="123">
        <f t="shared" si="5"/>
        <v>850</v>
      </c>
    </row>
    <row r="77" spans="1:13" x14ac:dyDescent="0.2">
      <c r="A77" s="1"/>
      <c r="B77" s="1"/>
      <c r="D77" s="6"/>
      <c r="G77" s="6"/>
      <c r="H77" s="6"/>
      <c r="I77" s="6"/>
      <c r="J77" s="6"/>
      <c r="K77" s="6"/>
      <c r="L77" s="6"/>
      <c r="M77" s="6"/>
    </row>
    <row r="78" spans="1:13" x14ac:dyDescent="0.2">
      <c r="A78" s="186" t="s">
        <v>36</v>
      </c>
      <c r="B78" s="193"/>
      <c r="C78" s="194"/>
      <c r="D78" s="6"/>
      <c r="E78" s="186" t="s">
        <v>37</v>
      </c>
      <c r="F78" s="193"/>
      <c r="G78" s="194"/>
      <c r="I78" s="186" t="s">
        <v>45</v>
      </c>
      <c r="J78" s="193"/>
      <c r="K78" s="194"/>
      <c r="L78" s="215"/>
      <c r="M78" s="6"/>
    </row>
    <row r="79" spans="1:13" x14ac:dyDescent="0.2">
      <c r="A79" s="94" t="s">
        <v>123</v>
      </c>
      <c r="C79" s="43">
        <v>3</v>
      </c>
      <c r="D79" s="6"/>
      <c r="E79" s="38" t="s">
        <v>9</v>
      </c>
      <c r="F79" s="36"/>
      <c r="G79" s="43">
        <f>408+84</f>
        <v>492</v>
      </c>
      <c r="I79" s="42" t="s">
        <v>133</v>
      </c>
      <c r="J79" s="36"/>
      <c r="K79" s="36"/>
      <c r="L79" s="43">
        <v>466</v>
      </c>
      <c r="M79" s="6"/>
    </row>
    <row r="80" spans="1:13" x14ac:dyDescent="0.2">
      <c r="A80" s="42" t="s">
        <v>29</v>
      </c>
      <c r="B80" s="36"/>
      <c r="C80" s="43">
        <v>3</v>
      </c>
      <c r="D80" s="6"/>
      <c r="E80" s="38" t="s">
        <v>10</v>
      </c>
      <c r="F80" s="36"/>
      <c r="G80" s="43">
        <f>60+46</f>
        <v>106</v>
      </c>
      <c r="I80" s="42" t="s">
        <v>134</v>
      </c>
      <c r="J80" s="36"/>
      <c r="K80" s="36"/>
      <c r="L80" s="43">
        <v>201</v>
      </c>
      <c r="M80" s="6"/>
    </row>
    <row r="81" spans="1:13" x14ac:dyDescent="0.2">
      <c r="A81" s="42" t="s">
        <v>124</v>
      </c>
      <c r="B81" s="36"/>
      <c r="C81" s="43">
        <v>56</v>
      </c>
      <c r="D81" s="6"/>
      <c r="E81" s="38" t="s">
        <v>11</v>
      </c>
      <c r="F81" s="36"/>
      <c r="G81" s="43">
        <f>35+9</f>
        <v>44</v>
      </c>
      <c r="I81" s="42" t="s">
        <v>46</v>
      </c>
      <c r="J81" s="36"/>
      <c r="K81" s="36"/>
      <c r="L81" s="43">
        <v>26</v>
      </c>
      <c r="M81" s="6"/>
    </row>
    <row r="82" spans="1:13" x14ac:dyDescent="0.2">
      <c r="A82" s="42" t="s">
        <v>125</v>
      </c>
      <c r="B82" s="57"/>
      <c r="C82" s="43">
        <f>255+17</f>
        <v>272</v>
      </c>
      <c r="D82" s="6"/>
      <c r="E82" s="38" t="s">
        <v>38</v>
      </c>
      <c r="F82" s="36"/>
      <c r="G82" s="43">
        <f>59+4</f>
        <v>63</v>
      </c>
      <c r="I82" s="42" t="s">
        <v>47</v>
      </c>
      <c r="J82" s="36"/>
      <c r="K82" s="36"/>
      <c r="L82" s="43">
        <v>4</v>
      </c>
      <c r="M82" s="6"/>
    </row>
    <row r="83" spans="1:13" x14ac:dyDescent="0.2">
      <c r="A83" s="42" t="s">
        <v>106</v>
      </c>
      <c r="B83" s="57"/>
      <c r="C83" s="43">
        <f>26+27+6</f>
        <v>59</v>
      </c>
      <c r="D83" s="6"/>
      <c r="E83" s="48" t="s">
        <v>39</v>
      </c>
      <c r="F83" s="45"/>
      <c r="G83" s="46">
        <v>0</v>
      </c>
      <c r="I83" s="106" t="s">
        <v>138</v>
      </c>
      <c r="J83" s="45"/>
      <c r="K83" s="45"/>
      <c r="L83" s="46">
        <v>0</v>
      </c>
      <c r="M83" s="6"/>
    </row>
    <row r="84" spans="1:13" x14ac:dyDescent="0.2">
      <c r="A84" s="42" t="s">
        <v>146</v>
      </c>
      <c r="B84" s="57"/>
      <c r="C84" s="43">
        <v>25</v>
      </c>
      <c r="D84" s="6"/>
      <c r="G84" s="6"/>
      <c r="H84" s="6"/>
      <c r="M84" s="6"/>
    </row>
    <row r="85" spans="1:13" x14ac:dyDescent="0.2">
      <c r="A85" s="42" t="s">
        <v>53</v>
      </c>
      <c r="B85" s="72"/>
      <c r="C85" s="43">
        <v>11</v>
      </c>
    </row>
    <row r="86" spans="1:13" x14ac:dyDescent="0.2">
      <c r="A86" s="42" t="s">
        <v>126</v>
      </c>
      <c r="B86" s="36"/>
      <c r="C86" s="43">
        <v>9</v>
      </c>
      <c r="E86" s="186" t="s">
        <v>31</v>
      </c>
      <c r="F86" s="193"/>
      <c r="G86" s="194"/>
      <c r="H86" s="186"/>
    </row>
    <row r="87" spans="1:13" x14ac:dyDescent="0.2">
      <c r="A87" s="104" t="s">
        <v>127</v>
      </c>
      <c r="B87" s="36"/>
      <c r="C87" s="43">
        <v>0</v>
      </c>
      <c r="E87" s="42" t="s">
        <v>32</v>
      </c>
      <c r="F87" s="60"/>
      <c r="G87" s="60"/>
      <c r="H87" s="49">
        <v>58</v>
      </c>
    </row>
    <row r="88" spans="1:13" x14ac:dyDescent="0.2">
      <c r="A88" s="104" t="s">
        <v>128</v>
      </c>
      <c r="B88" s="57"/>
      <c r="C88" s="43">
        <v>1</v>
      </c>
      <c r="E88" s="42" t="s">
        <v>33</v>
      </c>
      <c r="F88" s="57"/>
      <c r="G88" s="57"/>
      <c r="H88" s="49">
        <v>38</v>
      </c>
    </row>
    <row r="89" spans="1:13" x14ac:dyDescent="0.2">
      <c r="A89" s="104" t="s">
        <v>18</v>
      </c>
      <c r="C89" s="61">
        <v>21</v>
      </c>
      <c r="E89" s="44" t="s">
        <v>48</v>
      </c>
      <c r="F89" s="65"/>
      <c r="G89" s="45"/>
      <c r="H89" s="46">
        <v>0</v>
      </c>
      <c r="I89" s="2"/>
      <c r="J89" s="1"/>
    </row>
    <row r="90" spans="1:13" x14ac:dyDescent="0.2">
      <c r="A90" s="106" t="s">
        <v>20</v>
      </c>
      <c r="B90" s="45"/>
      <c r="C90" s="46">
        <f>426+136+85+1</f>
        <v>648</v>
      </c>
      <c r="E90" s="57"/>
      <c r="F90" s="60"/>
      <c r="G90" s="36"/>
      <c r="H90" s="36"/>
      <c r="I90" s="2"/>
      <c r="J90" s="1"/>
    </row>
    <row r="91" spans="1:13" x14ac:dyDescent="0.2">
      <c r="A91" s="94"/>
      <c r="B91" s="36"/>
      <c r="C91" s="36"/>
      <c r="E91" s="57"/>
      <c r="F91" s="60"/>
      <c r="G91" s="36"/>
      <c r="H91" s="36"/>
      <c r="I91" s="2"/>
      <c r="J91" s="1"/>
    </row>
    <row r="92" spans="1:13" x14ac:dyDescent="0.2">
      <c r="A92" s="94"/>
      <c r="B92" s="36"/>
      <c r="C92" s="36"/>
      <c r="I92" s="2"/>
      <c r="J92" s="1"/>
    </row>
    <row r="93" spans="1:13" x14ac:dyDescent="0.2">
      <c r="A93" s="181" t="s">
        <v>68</v>
      </c>
      <c r="B93" s="198"/>
      <c r="C93" s="1"/>
      <c r="E93" s="71" t="str">
        <f>'July 2015'!E93</f>
        <v>PageViews or</v>
      </c>
      <c r="I93" s="2"/>
      <c r="J93" s="1"/>
    </row>
    <row r="94" spans="1:13" x14ac:dyDescent="0.2">
      <c r="B94" s="1" t="s">
        <v>69</v>
      </c>
      <c r="D94" s="1" t="s">
        <v>101</v>
      </c>
      <c r="E94" s="69" t="str">
        <f>'July 2015'!E94</f>
        <v>Other Measure</v>
      </c>
      <c r="F94" s="71"/>
      <c r="I94" s="199" t="s">
        <v>72</v>
      </c>
      <c r="J94" s="199"/>
    </row>
    <row r="95" spans="1:13" x14ac:dyDescent="0.2">
      <c r="A95" s="1" t="s">
        <v>71</v>
      </c>
      <c r="B95" s="19" t="s">
        <v>415</v>
      </c>
      <c r="C95" s="19"/>
      <c r="D95" s="19">
        <v>2693</v>
      </c>
      <c r="E95" s="19"/>
      <c r="H95" s="4"/>
      <c r="I95" s="96"/>
      <c r="J95" s="100"/>
      <c r="K95" s="70" t="s">
        <v>100</v>
      </c>
      <c r="L95" s="70" t="s">
        <v>101</v>
      </c>
      <c r="M95" s="75" t="s">
        <v>131</v>
      </c>
    </row>
    <row r="96" spans="1:13" x14ac:dyDescent="0.2">
      <c r="B96" s="39" t="s">
        <v>141</v>
      </c>
      <c r="C96" s="17"/>
      <c r="D96" s="17"/>
      <c r="E96" s="17"/>
      <c r="F96" t="s">
        <v>416</v>
      </c>
      <c r="H96" s="1"/>
      <c r="I96" s="71" t="s">
        <v>139</v>
      </c>
      <c r="J96" s="60"/>
      <c r="M96" s="43"/>
    </row>
    <row r="97" spans="1:13" x14ac:dyDescent="0.2">
      <c r="A97" s="1"/>
      <c r="B97" s="17" t="s">
        <v>147</v>
      </c>
      <c r="C97" s="17"/>
      <c r="D97" s="17">
        <v>192</v>
      </c>
      <c r="E97" s="17">
        <v>194</v>
      </c>
      <c r="I97" s="42" t="s">
        <v>140</v>
      </c>
      <c r="K97" s="36"/>
      <c r="L97" s="36">
        <v>260</v>
      </c>
      <c r="M97" s="43"/>
    </row>
    <row r="98" spans="1:13" x14ac:dyDescent="0.2">
      <c r="B98" s="22" t="s">
        <v>102</v>
      </c>
      <c r="C98" s="22"/>
      <c r="D98" s="132">
        <v>963</v>
      </c>
      <c r="E98" s="22"/>
      <c r="I98" s="71" t="s">
        <v>154</v>
      </c>
      <c r="J98" s="60"/>
      <c r="K98" s="60"/>
      <c r="L98" s="57">
        <v>65</v>
      </c>
      <c r="M98" s="74"/>
    </row>
    <row r="99" spans="1:13" x14ac:dyDescent="0.2">
      <c r="B99" s="37" t="s">
        <v>151</v>
      </c>
      <c r="C99" s="22"/>
      <c r="D99" s="22">
        <v>99</v>
      </c>
      <c r="E99" s="22"/>
      <c r="I99" s="71"/>
      <c r="J99" s="60"/>
      <c r="K99" s="60"/>
      <c r="L99" s="57"/>
      <c r="M99" s="74"/>
    </row>
    <row r="100" spans="1:13" x14ac:dyDescent="0.2">
      <c r="A100" s="1"/>
      <c r="B100" s="37" t="s">
        <v>149</v>
      </c>
      <c r="C100" s="22"/>
      <c r="D100" s="22">
        <v>213</v>
      </c>
      <c r="E100" s="22"/>
      <c r="H100" s="1"/>
      <c r="I100" s="69"/>
      <c r="J100" s="65"/>
      <c r="K100" s="98"/>
      <c r="L100" s="98"/>
      <c r="M100" s="99"/>
    </row>
    <row r="101" spans="1:13" x14ac:dyDescent="0.2">
      <c r="B101" s="37" t="s">
        <v>150</v>
      </c>
      <c r="C101" s="22"/>
      <c r="D101" s="22"/>
      <c r="E101" s="22"/>
      <c r="H101" s="1"/>
      <c r="I101" s="57"/>
      <c r="J101" s="36"/>
      <c r="K101" s="36"/>
      <c r="L101" s="93"/>
      <c r="M101" s="93"/>
    </row>
    <row r="102" spans="1:13" x14ac:dyDescent="0.2">
      <c r="B102" s="17"/>
      <c r="C102" s="37"/>
      <c r="D102" s="37"/>
      <c r="E102" s="37"/>
      <c r="H102" s="1"/>
      <c r="I102" s="199" t="s">
        <v>112</v>
      </c>
      <c r="J102" s="199"/>
      <c r="K102" s="199"/>
      <c r="L102" s="93"/>
      <c r="M102" s="93"/>
    </row>
    <row r="103" spans="1:13" x14ac:dyDescent="0.2">
      <c r="A103" s="1" t="s">
        <v>80</v>
      </c>
      <c r="B103" s="17" t="s">
        <v>115</v>
      </c>
      <c r="C103" s="37"/>
      <c r="D103" s="37">
        <v>142</v>
      </c>
      <c r="E103" s="37"/>
      <c r="I103" s="102" t="s">
        <v>116</v>
      </c>
      <c r="J103" s="40"/>
      <c r="K103" s="103">
        <v>1058</v>
      </c>
      <c r="L103" s="93"/>
      <c r="M103" s="93"/>
    </row>
    <row r="104" spans="1:13" x14ac:dyDescent="0.2">
      <c r="A104" s="1"/>
      <c r="B104" s="37" t="s">
        <v>98</v>
      </c>
      <c r="C104" s="37"/>
      <c r="D104" s="37">
        <v>57</v>
      </c>
      <c r="E104" s="37"/>
      <c r="I104" s="104" t="s">
        <v>101</v>
      </c>
      <c r="J104" s="4"/>
      <c r="K104" s="105">
        <v>322</v>
      </c>
      <c r="L104" s="93"/>
      <c r="M104" s="93"/>
    </row>
    <row r="105" spans="1:13" x14ac:dyDescent="0.2">
      <c r="B105" s="21" t="s">
        <v>99</v>
      </c>
      <c r="C105" s="21"/>
      <c r="D105" s="20">
        <v>39</v>
      </c>
      <c r="E105" s="20"/>
      <c r="I105" s="107"/>
      <c r="J105" s="108"/>
      <c r="K105" s="97"/>
      <c r="L105" s="93"/>
      <c r="M105" s="93"/>
    </row>
    <row r="106" spans="1:13" x14ac:dyDescent="0.2">
      <c r="B106" s="17"/>
      <c r="C106" s="17"/>
      <c r="D106" s="17"/>
      <c r="E106" s="17"/>
      <c r="I106" s="199" t="s">
        <v>117</v>
      </c>
      <c r="J106" s="199"/>
      <c r="K106" s="199"/>
      <c r="L106" s="93"/>
      <c r="M106" s="93"/>
    </row>
    <row r="107" spans="1:13" x14ac:dyDescent="0.2">
      <c r="A107" s="1" t="s">
        <v>103</v>
      </c>
      <c r="B107" s="21" t="s">
        <v>81</v>
      </c>
      <c r="C107" s="21"/>
      <c r="D107" s="39">
        <v>128</v>
      </c>
      <c r="E107" s="17"/>
      <c r="I107" s="102"/>
      <c r="J107" s="40"/>
      <c r="K107" s="50" t="s">
        <v>25</v>
      </c>
      <c r="L107" s="112" t="s">
        <v>26</v>
      </c>
      <c r="M107" s="113" t="s">
        <v>14</v>
      </c>
    </row>
    <row r="108" spans="1:13" x14ac:dyDescent="0.2">
      <c r="B108" s="20"/>
      <c r="C108" s="20"/>
      <c r="D108" s="21"/>
      <c r="E108" s="21"/>
      <c r="I108" s="110" t="s">
        <v>23</v>
      </c>
      <c r="J108" s="101"/>
      <c r="K108" s="36">
        <v>0</v>
      </c>
      <c r="L108" s="36">
        <v>7</v>
      </c>
      <c r="M108" s="109">
        <f>SUM(K108:L108)</f>
        <v>7</v>
      </c>
    </row>
    <row r="109" spans="1:13" x14ac:dyDescent="0.2">
      <c r="A109" s="1" t="s">
        <v>77</v>
      </c>
      <c r="B109" s="20" t="s">
        <v>82</v>
      </c>
      <c r="C109" s="20"/>
      <c r="D109" s="17">
        <v>14</v>
      </c>
      <c r="E109" s="17">
        <v>105</v>
      </c>
      <c r="I109" s="110" t="s">
        <v>24</v>
      </c>
      <c r="J109" s="101"/>
      <c r="K109" s="36">
        <v>27</v>
      </c>
      <c r="L109" s="36">
        <v>2</v>
      </c>
      <c r="M109" s="109">
        <f>SUM(K109:L109)</f>
        <v>29</v>
      </c>
    </row>
    <row r="110" spans="1:13" x14ac:dyDescent="0.2">
      <c r="A110" s="1"/>
      <c r="B110" s="115" t="s">
        <v>153</v>
      </c>
      <c r="D110" s="20">
        <v>4</v>
      </c>
      <c r="E110" s="20"/>
      <c r="I110" s="110" t="s">
        <v>156</v>
      </c>
      <c r="J110" s="101"/>
      <c r="K110" s="36">
        <v>1</v>
      </c>
      <c r="L110" s="36">
        <v>0</v>
      </c>
      <c r="M110" s="109">
        <f>SUM(K110:L110)</f>
        <v>1</v>
      </c>
    </row>
    <row r="111" spans="1:13" x14ac:dyDescent="0.2">
      <c r="A111" s="1"/>
      <c r="B111" s="39" t="s">
        <v>182</v>
      </c>
      <c r="C111" s="20"/>
      <c r="D111" s="116">
        <v>3256</v>
      </c>
      <c r="E111" s="20"/>
      <c r="I111" s="111" t="s">
        <v>118</v>
      </c>
      <c r="J111" s="98"/>
      <c r="K111" s="62"/>
      <c r="L111" s="62"/>
      <c r="M111" s="95"/>
    </row>
    <row r="112" spans="1:13" x14ac:dyDescent="0.2">
      <c r="A112" s="1"/>
      <c r="B112" s="116" t="s">
        <v>142</v>
      </c>
      <c r="C112" s="20"/>
      <c r="D112" s="116">
        <v>456</v>
      </c>
      <c r="E112" s="20"/>
      <c r="I112" s="4"/>
      <c r="J112" s="4"/>
      <c r="K112" s="4"/>
      <c r="L112" s="4"/>
      <c r="M112" s="4"/>
    </row>
    <row r="113" spans="1:13" x14ac:dyDescent="0.2">
      <c r="A113" s="1"/>
      <c r="B113" s="116" t="s">
        <v>148</v>
      </c>
      <c r="C113" s="20"/>
      <c r="D113" s="116">
        <v>350</v>
      </c>
      <c r="E113" s="20"/>
      <c r="I113" s="253" t="s">
        <v>111</v>
      </c>
      <c r="J113" s="253"/>
      <c r="K113" s="121">
        <v>2</v>
      </c>
      <c r="L113" s="110"/>
      <c r="M113" s="101"/>
    </row>
    <row r="114" spans="1:13" x14ac:dyDescent="0.2">
      <c r="B114" s="116" t="s">
        <v>132</v>
      </c>
      <c r="C114" s="20"/>
      <c r="D114" s="116">
        <v>285</v>
      </c>
      <c r="E114" s="20"/>
      <c r="I114" s="253" t="s">
        <v>143</v>
      </c>
      <c r="J114" s="253"/>
      <c r="K114" s="121">
        <v>3</v>
      </c>
      <c r="L114" s="94" t="s">
        <v>145</v>
      </c>
      <c r="M114" s="101"/>
    </row>
    <row r="115" spans="1:13" x14ac:dyDescent="0.2">
      <c r="D115">
        <f>SUM(D95:D114)</f>
        <v>8891</v>
      </c>
      <c r="E115">
        <f>SUM(E95:E114)</f>
        <v>299</v>
      </c>
      <c r="I115" s="101"/>
      <c r="J115" s="101"/>
      <c r="K115" s="94"/>
      <c r="L115" s="94"/>
      <c r="M115" s="101"/>
    </row>
    <row r="116" spans="1:13" x14ac:dyDescent="0.2">
      <c r="A116" s="36"/>
      <c r="B116" s="36"/>
      <c r="C116" s="36"/>
      <c r="D116" s="36"/>
      <c r="E116" s="36"/>
      <c r="F116" s="36"/>
      <c r="I116" s="101"/>
      <c r="J116" s="101"/>
      <c r="K116" s="94"/>
      <c r="L116" s="94"/>
      <c r="M116" s="101"/>
    </row>
    <row r="117" spans="1:13" x14ac:dyDescent="0.2">
      <c r="A117" s="71"/>
      <c r="B117" s="124"/>
      <c r="C117" s="127"/>
      <c r="D117" s="127"/>
      <c r="E117" s="126"/>
      <c r="F117" s="127"/>
    </row>
    <row r="118" spans="1:13" x14ac:dyDescent="0.2">
      <c r="A118" s="181" t="s">
        <v>58</v>
      </c>
      <c r="B118" s="259"/>
      <c r="C118" s="45"/>
      <c r="D118" s="45"/>
    </row>
    <row r="119" spans="1:13" x14ac:dyDescent="0.2">
      <c r="B119" s="57"/>
      <c r="C119" s="36"/>
      <c r="D119" s="50" t="s">
        <v>63</v>
      </c>
      <c r="E119" s="50" t="s">
        <v>20</v>
      </c>
      <c r="F119" s="40"/>
      <c r="G119" s="51" t="s">
        <v>64</v>
      </c>
      <c r="H119" s="40"/>
      <c r="I119" s="40"/>
      <c r="J119" s="50" t="s">
        <v>90</v>
      </c>
      <c r="K119" s="50" t="s">
        <v>30</v>
      </c>
      <c r="L119" s="40"/>
      <c r="M119" s="73" t="s">
        <v>14</v>
      </c>
    </row>
    <row r="120" spans="1:13" x14ac:dyDescent="0.2">
      <c r="B120" s="57" t="s">
        <v>59</v>
      </c>
      <c r="C120" s="36" t="s">
        <v>60</v>
      </c>
      <c r="D120" s="57" t="s">
        <v>62</v>
      </c>
      <c r="E120" s="57" t="s">
        <v>88</v>
      </c>
      <c r="F120" s="57" t="s">
        <v>114</v>
      </c>
      <c r="G120" s="57" t="s">
        <v>65</v>
      </c>
      <c r="H120" s="57" t="s">
        <v>54</v>
      </c>
      <c r="I120" s="57" t="s">
        <v>61</v>
      </c>
      <c r="J120" s="81" t="s">
        <v>137</v>
      </c>
      <c r="K120" s="36" t="s">
        <v>34</v>
      </c>
      <c r="L120" s="57" t="s">
        <v>89</v>
      </c>
      <c r="M120" s="43"/>
    </row>
    <row r="121" spans="1:13" x14ac:dyDescent="0.2">
      <c r="A121" s="71" t="s">
        <v>27</v>
      </c>
      <c r="B121" s="57" t="s">
        <v>121</v>
      </c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43"/>
    </row>
    <row r="122" spans="1:13" x14ac:dyDescent="0.2">
      <c r="A122" s="71" t="s">
        <v>105</v>
      </c>
      <c r="B122" s="57">
        <v>47526</v>
      </c>
      <c r="C122" s="36">
        <f>92+42+23</f>
        <v>157</v>
      </c>
      <c r="D122" s="36">
        <v>1460</v>
      </c>
      <c r="E122" s="4">
        <f>4+44+14+8+84+28+30+67+30+1+2</f>
        <v>312</v>
      </c>
      <c r="F122" s="4">
        <f>55+3+20+4+1+5+4+5+2+2+38+15+11+4+71+3+4+2+9+3+10+2+6+19+15+4+8+1+15+2+24+7+1+7+3+12+13+9+3+24+5+3+1+2+3</f>
        <v>460</v>
      </c>
      <c r="G122" s="36">
        <v>1060</v>
      </c>
      <c r="H122" s="4">
        <f>20+189+1612</f>
        <v>1821</v>
      </c>
      <c r="I122" s="4">
        <v>94</v>
      </c>
      <c r="J122" s="36">
        <v>2</v>
      </c>
      <c r="K122" s="36">
        <v>10413</v>
      </c>
      <c r="L122" s="36">
        <v>634</v>
      </c>
      <c r="M122" s="43">
        <f>SUM(B122:L122)</f>
        <v>63939</v>
      </c>
    </row>
    <row r="123" spans="1:13" x14ac:dyDescent="0.2">
      <c r="B123" s="45"/>
      <c r="C123" s="45"/>
      <c r="D123" s="45"/>
      <c r="E123" s="45"/>
      <c r="F123" s="45"/>
      <c r="G123" s="67" t="s">
        <v>97</v>
      </c>
      <c r="H123" s="45"/>
      <c r="I123" s="45"/>
      <c r="J123" s="45"/>
      <c r="K123" s="45"/>
      <c r="L123" s="65"/>
      <c r="M123" s="46"/>
    </row>
    <row r="124" spans="1:13" x14ac:dyDescent="0.2">
      <c r="A124" s="48" t="s">
        <v>78</v>
      </c>
      <c r="L124" s="1"/>
      <c r="M124" s="1"/>
    </row>
    <row r="125" spans="1:13" x14ac:dyDescent="0.2">
      <c r="A125" s="38"/>
      <c r="L125" s="1"/>
      <c r="M125" s="1"/>
    </row>
    <row r="126" spans="1:13" x14ac:dyDescent="0.2">
      <c r="A126" s="186" t="s">
        <v>91</v>
      </c>
      <c r="B126" s="187"/>
      <c r="C126" s="75">
        <v>102</v>
      </c>
      <c r="F126" s="186" t="s">
        <v>49</v>
      </c>
      <c r="G126" s="187"/>
      <c r="H126" s="75">
        <v>1</v>
      </c>
      <c r="J126" s="186" t="s">
        <v>75</v>
      </c>
      <c r="K126" s="187"/>
      <c r="L126" s="186"/>
      <c r="M126" s="41">
        <v>2</v>
      </c>
    </row>
    <row r="127" spans="1:13" x14ac:dyDescent="0.2">
      <c r="A127" s="203" t="s">
        <v>84</v>
      </c>
      <c r="B127" s="200"/>
      <c r="C127" s="49"/>
      <c r="F127" s="190" t="s">
        <v>50</v>
      </c>
      <c r="G127" s="191"/>
      <c r="H127" s="76">
        <v>1</v>
      </c>
      <c r="J127" s="190" t="s">
        <v>76</v>
      </c>
      <c r="K127" s="191"/>
      <c r="L127" s="190"/>
      <c r="M127" s="46">
        <v>0</v>
      </c>
    </row>
    <row r="128" spans="1:13" x14ac:dyDescent="0.2">
      <c r="A128" s="190" t="s">
        <v>92</v>
      </c>
      <c r="B128" s="202"/>
      <c r="C128" s="46">
        <v>272</v>
      </c>
      <c r="D128" s="2" t="s">
        <v>155</v>
      </c>
    </row>
    <row r="129" spans="1:13" x14ac:dyDescent="0.2">
      <c r="A129" s="47"/>
    </row>
    <row r="130" spans="1:13" x14ac:dyDescent="0.2">
      <c r="A130" s="186" t="s">
        <v>96</v>
      </c>
      <c r="B130" s="187"/>
      <c r="C130" s="192"/>
      <c r="D130" s="192"/>
      <c r="E130" s="186"/>
      <c r="F130" s="40"/>
      <c r="G130" s="40"/>
      <c r="H130" s="40"/>
      <c r="I130" s="40"/>
      <c r="J130" s="40"/>
      <c r="K130" s="40"/>
      <c r="L130" s="40"/>
    </row>
    <row r="131" spans="1:13" x14ac:dyDescent="0.2">
      <c r="A131" s="38"/>
      <c r="B131" s="36"/>
      <c r="C131" s="60" t="s">
        <v>3</v>
      </c>
      <c r="D131" s="60" t="s">
        <v>4</v>
      </c>
      <c r="E131" s="60" t="s">
        <v>0</v>
      </c>
      <c r="F131" s="60" t="s">
        <v>1</v>
      </c>
      <c r="G131" s="60" t="s">
        <v>2</v>
      </c>
      <c r="H131" s="60" t="s">
        <v>5</v>
      </c>
      <c r="I131" s="60" t="s">
        <v>6</v>
      </c>
      <c r="J131" s="60" t="s">
        <v>28</v>
      </c>
      <c r="K131" s="60" t="s">
        <v>40</v>
      </c>
      <c r="L131" s="60" t="s">
        <v>14</v>
      </c>
    </row>
    <row r="132" spans="1:13" x14ac:dyDescent="0.2">
      <c r="A132" s="38"/>
      <c r="B132" s="60" t="s">
        <v>195</v>
      </c>
      <c r="C132" s="36">
        <v>111</v>
      </c>
      <c r="D132" s="36">
        <v>54</v>
      </c>
      <c r="E132" s="36">
        <v>652</v>
      </c>
      <c r="F132" s="4">
        <v>428</v>
      </c>
      <c r="G132" s="4">
        <v>224</v>
      </c>
      <c r="H132" s="4">
        <v>19</v>
      </c>
      <c r="I132" s="4">
        <v>53</v>
      </c>
      <c r="J132" s="4">
        <v>228</v>
      </c>
      <c r="K132" s="4">
        <v>571</v>
      </c>
      <c r="L132" s="4">
        <f>SUM(C132:K132)</f>
        <v>2340</v>
      </c>
    </row>
    <row r="133" spans="1:13" x14ac:dyDescent="0.2">
      <c r="A133" s="38"/>
      <c r="B133" s="60" t="s">
        <v>9</v>
      </c>
      <c r="C133" s="133" t="s">
        <v>181</v>
      </c>
      <c r="D133" s="133" t="s">
        <v>181</v>
      </c>
      <c r="E133" s="133" t="s">
        <v>181</v>
      </c>
      <c r="F133" s="133">
        <v>268</v>
      </c>
      <c r="G133" s="133" t="s">
        <v>181</v>
      </c>
      <c r="H133" s="133" t="s">
        <v>181</v>
      </c>
      <c r="I133" s="133" t="s">
        <v>181</v>
      </c>
      <c r="J133" s="133">
        <v>223</v>
      </c>
      <c r="K133" s="133" t="s">
        <v>181</v>
      </c>
      <c r="L133" s="4">
        <f>SUM(C133:K133)</f>
        <v>491</v>
      </c>
    </row>
    <row r="134" spans="1:13" ht="13.5" thickBot="1" x14ac:dyDescent="0.25">
      <c r="A134" s="38"/>
      <c r="B134" s="16" t="s">
        <v>196</v>
      </c>
      <c r="C134" s="208">
        <v>0</v>
      </c>
      <c r="D134" s="208">
        <v>7</v>
      </c>
      <c r="E134" s="208">
        <v>1</v>
      </c>
      <c r="F134" s="208">
        <v>4</v>
      </c>
      <c r="G134" s="208">
        <v>0</v>
      </c>
      <c r="H134" s="208">
        <v>0</v>
      </c>
      <c r="I134" s="135" t="s">
        <v>181</v>
      </c>
      <c r="J134" s="208">
        <v>0</v>
      </c>
      <c r="K134" s="208">
        <v>4</v>
      </c>
      <c r="L134" s="18">
        <f>SUM(C134:K134)</f>
        <v>16</v>
      </c>
    </row>
    <row r="135" spans="1:13" ht="13.5" thickTop="1" x14ac:dyDescent="0.2">
      <c r="B135" s="60" t="s">
        <v>14</v>
      </c>
      <c r="C135" s="36">
        <f>SUM(C132:C134)</f>
        <v>111</v>
      </c>
      <c r="D135" s="36">
        <f>SUM(D132:D134)</f>
        <v>61</v>
      </c>
      <c r="E135" s="36">
        <f t="shared" ref="E135:L135" si="7">SUM(E132:E134)</f>
        <v>653</v>
      </c>
      <c r="F135" s="36">
        <f t="shared" si="7"/>
        <v>700</v>
      </c>
      <c r="G135" s="36">
        <f t="shared" si="7"/>
        <v>224</v>
      </c>
      <c r="H135" s="36">
        <f t="shared" si="7"/>
        <v>19</v>
      </c>
      <c r="I135" s="36">
        <f t="shared" si="7"/>
        <v>53</v>
      </c>
      <c r="J135" s="36">
        <f t="shared" si="7"/>
        <v>451</v>
      </c>
      <c r="K135" s="36">
        <f t="shared" si="7"/>
        <v>575</v>
      </c>
      <c r="L135" s="57">
        <f t="shared" si="7"/>
        <v>2847</v>
      </c>
    </row>
    <row r="136" spans="1:13" x14ac:dyDescent="0.2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60"/>
    </row>
    <row r="137" spans="1:13" x14ac:dyDescent="0.2">
      <c r="A137" s="69" t="s">
        <v>79</v>
      </c>
      <c r="B137" s="65"/>
      <c r="C137" s="45">
        <v>12</v>
      </c>
      <c r="D137" s="45">
        <v>12</v>
      </c>
      <c r="E137" s="45">
        <v>23</v>
      </c>
      <c r="F137" s="45">
        <v>19</v>
      </c>
      <c r="G137" s="45">
        <v>18</v>
      </c>
      <c r="H137" s="45">
        <v>17</v>
      </c>
      <c r="I137" s="45">
        <v>4</v>
      </c>
      <c r="J137" s="45">
        <v>23</v>
      </c>
      <c r="K137" s="45">
        <v>17</v>
      </c>
      <c r="L137" s="45">
        <f>SUM(C136:K136)</f>
        <v>0</v>
      </c>
    </row>
    <row r="138" spans="1:13" x14ac:dyDescent="0.2">
      <c r="B138" s="60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3" ht="18" x14ac:dyDescent="0.25">
      <c r="A139" s="186" t="s">
        <v>85</v>
      </c>
      <c r="B139" s="194"/>
      <c r="F139" s="14"/>
      <c r="G139" s="12"/>
      <c r="H139" s="15"/>
      <c r="I139" s="15"/>
      <c r="J139" s="12"/>
    </row>
    <row r="140" spans="1:13" ht="18" x14ac:dyDescent="0.25">
      <c r="A140" s="32" t="s">
        <v>86</v>
      </c>
      <c r="B140" s="33"/>
      <c r="C140" s="33"/>
      <c r="D140" s="23"/>
      <c r="E140" s="23"/>
      <c r="F140" s="24"/>
      <c r="G140" s="33" t="s">
        <v>186</v>
      </c>
      <c r="H140" s="25"/>
      <c r="I140" s="25"/>
      <c r="J140" s="25"/>
      <c r="K140" s="23"/>
      <c r="L140" s="23"/>
      <c r="M140" s="26"/>
    </row>
    <row r="141" spans="1:13" ht="18" x14ac:dyDescent="0.25">
      <c r="A141" s="161" t="s">
        <v>466</v>
      </c>
      <c r="B141" s="27"/>
      <c r="C141" s="27"/>
      <c r="D141" s="27"/>
      <c r="E141" s="27"/>
      <c r="F141" s="28"/>
      <c r="G141" s="163" t="s">
        <v>439</v>
      </c>
      <c r="H141" s="29"/>
      <c r="I141" s="82"/>
      <c r="J141" s="83"/>
      <c r="K141" s="84"/>
      <c r="L141" s="84"/>
      <c r="M141" s="119"/>
    </row>
    <row r="142" spans="1:13" x14ac:dyDescent="0.2">
      <c r="B142" s="27"/>
      <c r="C142" s="27"/>
      <c r="D142" s="27"/>
      <c r="E142" s="27"/>
      <c r="F142" s="82"/>
      <c r="G142" s="163" t="s">
        <v>456</v>
      </c>
      <c r="H142" s="82"/>
      <c r="I142" s="82"/>
      <c r="J142" s="82"/>
      <c r="K142" s="85"/>
      <c r="L142" s="85"/>
      <c r="M142" s="86"/>
    </row>
    <row r="143" spans="1:13" x14ac:dyDescent="0.2">
      <c r="A143" s="34" t="s">
        <v>164</v>
      </c>
      <c r="B143" s="27"/>
      <c r="C143" s="27"/>
      <c r="D143" s="27"/>
      <c r="E143" s="27"/>
      <c r="F143" s="28"/>
      <c r="G143" s="82"/>
      <c r="H143" s="82"/>
      <c r="I143" s="82"/>
      <c r="J143" s="82"/>
      <c r="K143" s="85"/>
      <c r="L143" s="85"/>
      <c r="M143" s="86"/>
    </row>
    <row r="144" spans="1:13" x14ac:dyDescent="0.2">
      <c r="A144" s="161" t="s">
        <v>463</v>
      </c>
      <c r="M144" s="43"/>
    </row>
    <row r="145" spans="1:13" ht="18" x14ac:dyDescent="0.25">
      <c r="A145" s="168" t="s">
        <v>446</v>
      </c>
      <c r="B145" s="89"/>
      <c r="C145" s="27"/>
      <c r="D145" s="27"/>
      <c r="E145" s="27"/>
      <c r="F145" s="82"/>
      <c r="G145" s="82"/>
      <c r="H145" s="82"/>
      <c r="I145" s="29"/>
      <c r="J145" s="55"/>
      <c r="K145" s="27"/>
      <c r="L145" s="27"/>
      <c r="M145" s="30"/>
    </row>
    <row r="146" spans="1:13" ht="18" x14ac:dyDescent="0.25">
      <c r="A146" s="161" t="s">
        <v>447</v>
      </c>
      <c r="B146" s="27"/>
      <c r="C146" s="27"/>
      <c r="D146" s="27"/>
      <c r="E146" s="27"/>
      <c r="F146" s="82"/>
      <c r="G146" s="35" t="s">
        <v>168</v>
      </c>
      <c r="H146" s="29"/>
      <c r="I146" s="82"/>
      <c r="J146" s="82"/>
      <c r="K146" s="27"/>
      <c r="L146" s="27"/>
      <c r="M146" s="30"/>
    </row>
    <row r="147" spans="1:13" ht="18" x14ac:dyDescent="0.25">
      <c r="A147" s="161" t="s">
        <v>448</v>
      </c>
      <c r="B147" s="89"/>
      <c r="C147" s="27"/>
      <c r="D147" s="27"/>
      <c r="E147" s="27"/>
      <c r="F147" s="27"/>
      <c r="G147" s="163" t="s">
        <v>440</v>
      </c>
      <c r="H147" s="29"/>
      <c r="I147" s="29"/>
      <c r="J147" s="29"/>
      <c r="K147" s="29"/>
      <c r="L147" s="27"/>
      <c r="M147" s="30"/>
    </row>
    <row r="148" spans="1:13" x14ac:dyDescent="0.2">
      <c r="A148" s="161" t="s">
        <v>454</v>
      </c>
      <c r="B148" s="35"/>
      <c r="C148" s="35"/>
      <c r="D148" s="27"/>
      <c r="E148" s="35"/>
      <c r="F148" s="92"/>
      <c r="I148" s="82"/>
      <c r="J148" s="82"/>
      <c r="K148" s="27"/>
      <c r="L148" s="27"/>
      <c r="M148" s="30"/>
    </row>
    <row r="149" spans="1:13" x14ac:dyDescent="0.2">
      <c r="A149" s="168" t="s">
        <v>458</v>
      </c>
      <c r="F149" s="92"/>
      <c r="I149" s="82"/>
      <c r="J149" s="82"/>
      <c r="K149" s="27"/>
      <c r="L149" s="27"/>
      <c r="M149" s="30"/>
    </row>
    <row r="150" spans="1:13" ht="18" x14ac:dyDescent="0.25">
      <c r="A150" s="168" t="s">
        <v>464</v>
      </c>
      <c r="F150" s="92"/>
      <c r="G150" s="89"/>
      <c r="I150" s="29"/>
      <c r="J150" s="29"/>
      <c r="K150" s="27"/>
      <c r="L150" s="27"/>
      <c r="M150" s="30"/>
    </row>
    <row r="151" spans="1:13" ht="18" x14ac:dyDescent="0.25">
      <c r="A151" s="168"/>
      <c r="F151" s="92"/>
      <c r="G151" s="89"/>
      <c r="I151" s="29"/>
      <c r="J151" s="29"/>
      <c r="K151" s="27"/>
      <c r="L151" s="27"/>
      <c r="M151" s="30"/>
    </row>
    <row r="152" spans="1:13" ht="18" x14ac:dyDescent="0.25">
      <c r="A152" s="34" t="s">
        <v>19</v>
      </c>
      <c r="B152" s="27"/>
      <c r="C152" s="27"/>
      <c r="D152" s="27"/>
      <c r="E152" s="27"/>
      <c r="F152" s="28"/>
      <c r="G152" s="89"/>
      <c r="I152" s="29"/>
      <c r="J152" s="29"/>
      <c r="K152" s="27"/>
      <c r="L152" s="27"/>
      <c r="M152" s="30"/>
    </row>
    <row r="153" spans="1:13" ht="18" x14ac:dyDescent="0.25">
      <c r="A153" s="161" t="s">
        <v>453</v>
      </c>
      <c r="B153" s="27"/>
      <c r="C153" s="27"/>
      <c r="D153" s="27"/>
      <c r="E153" s="27"/>
      <c r="F153" s="28"/>
      <c r="G153" s="89"/>
      <c r="I153" s="29"/>
      <c r="J153" s="29"/>
      <c r="K153" s="27"/>
      <c r="L153" s="27"/>
      <c r="M153" s="30"/>
    </row>
    <row r="154" spans="1:13" x14ac:dyDescent="0.2">
      <c r="B154" s="27"/>
      <c r="C154" s="27"/>
      <c r="D154" s="27"/>
      <c r="E154" s="27"/>
      <c r="F154" s="28"/>
      <c r="G154" s="89"/>
      <c r="I154" s="82"/>
      <c r="J154" s="82"/>
      <c r="K154" s="85"/>
      <c r="L154" s="85"/>
      <c r="M154" s="86"/>
    </row>
    <row r="155" spans="1:13" x14ac:dyDescent="0.2">
      <c r="A155" s="34" t="s">
        <v>87</v>
      </c>
      <c r="F155" s="28"/>
      <c r="G155" s="89"/>
      <c r="I155" s="82"/>
      <c r="J155" s="82"/>
      <c r="K155" s="85"/>
      <c r="L155" s="85"/>
      <c r="M155" s="86"/>
    </row>
    <row r="156" spans="1:13" x14ac:dyDescent="0.2">
      <c r="A156" s="161" t="s">
        <v>452</v>
      </c>
      <c r="B156" s="27"/>
      <c r="C156" s="27"/>
      <c r="D156" s="27"/>
      <c r="E156" s="27"/>
      <c r="F156" s="28"/>
      <c r="I156" s="82"/>
      <c r="J156" s="82"/>
      <c r="K156" s="85"/>
      <c r="L156" s="85"/>
      <c r="M156" s="86"/>
    </row>
    <row r="157" spans="1:13" x14ac:dyDescent="0.2">
      <c r="B157" s="27"/>
      <c r="C157" s="27"/>
      <c r="D157" s="27"/>
      <c r="E157" s="27"/>
      <c r="F157" s="28"/>
      <c r="I157" s="82"/>
      <c r="J157" s="82"/>
      <c r="K157" s="85"/>
      <c r="L157" s="85"/>
      <c r="M157" s="86"/>
    </row>
    <row r="158" spans="1:13" x14ac:dyDescent="0.2">
      <c r="A158" s="131" t="s">
        <v>173</v>
      </c>
      <c r="B158" s="27"/>
      <c r="C158" s="27"/>
      <c r="D158" s="27"/>
      <c r="E158" s="27"/>
      <c r="G158" s="131" t="s">
        <v>170</v>
      </c>
      <c r="M158" s="43"/>
    </row>
    <row r="159" spans="1:13" x14ac:dyDescent="0.2">
      <c r="A159" s="168" t="s">
        <v>457</v>
      </c>
      <c r="B159" s="27"/>
      <c r="C159" s="27"/>
      <c r="D159" s="27"/>
      <c r="E159" s="27"/>
      <c r="F159" s="28"/>
      <c r="G159" s="163" t="s">
        <v>441</v>
      </c>
      <c r="K159" s="85"/>
      <c r="L159" s="85"/>
      <c r="M159" s="86"/>
    </row>
    <row r="160" spans="1:13" x14ac:dyDescent="0.2">
      <c r="A160" s="168" t="s">
        <v>449</v>
      </c>
      <c r="B160" s="27"/>
      <c r="C160" s="27"/>
      <c r="F160" s="28"/>
      <c r="G160" s="163" t="s">
        <v>442</v>
      </c>
      <c r="I160" s="82"/>
      <c r="J160" s="82"/>
      <c r="K160" s="85"/>
      <c r="L160" s="85"/>
      <c r="M160" s="86"/>
    </row>
    <row r="161" spans="1:13" x14ac:dyDescent="0.2">
      <c r="A161" s="168" t="s">
        <v>450</v>
      </c>
      <c r="B161" s="27"/>
      <c r="C161" s="27"/>
      <c r="D161" s="27"/>
      <c r="E161" s="27"/>
      <c r="F161" s="27"/>
      <c r="G161" s="168" t="s">
        <v>443</v>
      </c>
      <c r="I161" s="27"/>
      <c r="J161" s="82"/>
      <c r="M161" s="43"/>
    </row>
    <row r="162" spans="1:13" ht="18" x14ac:dyDescent="0.25">
      <c r="A162" s="161" t="s">
        <v>451</v>
      </c>
      <c r="B162" s="35"/>
      <c r="C162" s="35"/>
      <c r="D162" s="27"/>
      <c r="E162" s="27"/>
      <c r="F162" s="28"/>
      <c r="G162" s="163" t="s">
        <v>444</v>
      </c>
      <c r="I162" s="29"/>
      <c r="J162" s="29"/>
      <c r="K162" s="27"/>
      <c r="L162" s="27"/>
      <c r="M162" s="30"/>
    </row>
    <row r="163" spans="1:13" ht="18" x14ac:dyDescent="0.25">
      <c r="A163" s="161" t="s">
        <v>455</v>
      </c>
      <c r="B163" s="27"/>
      <c r="C163" s="27"/>
      <c r="D163" s="27"/>
      <c r="E163" s="89"/>
      <c r="F163" s="82"/>
      <c r="G163" s="163" t="s">
        <v>445</v>
      </c>
      <c r="H163" s="83"/>
      <c r="I163" s="83"/>
      <c r="J163" s="82"/>
      <c r="K163" s="85"/>
      <c r="L163" s="89"/>
      <c r="M163" s="120"/>
    </row>
    <row r="164" spans="1:13" ht="18" x14ac:dyDescent="0.25">
      <c r="A164" s="161" t="s">
        <v>460</v>
      </c>
      <c r="B164" s="27"/>
      <c r="C164" s="27"/>
      <c r="D164" s="27"/>
      <c r="E164" s="27"/>
      <c r="F164" s="82"/>
      <c r="G164" s="163" t="s">
        <v>459</v>
      </c>
      <c r="H164" s="82"/>
      <c r="I164" s="83"/>
      <c r="J164" s="83"/>
      <c r="K164" s="84"/>
      <c r="L164" s="84"/>
      <c r="M164" s="30"/>
    </row>
    <row r="165" spans="1:13" ht="18" x14ac:dyDescent="0.25">
      <c r="A165" s="168" t="s">
        <v>461</v>
      </c>
      <c r="B165" s="27"/>
      <c r="C165" s="27"/>
      <c r="D165" s="27"/>
      <c r="E165" s="89"/>
      <c r="F165" s="82"/>
      <c r="H165" s="83"/>
      <c r="I165" s="83"/>
      <c r="J165" s="83"/>
      <c r="K165" s="84"/>
      <c r="L165" s="84"/>
      <c r="M165" s="30"/>
    </row>
    <row r="166" spans="1:13" ht="18" x14ac:dyDescent="0.25">
      <c r="A166" s="168" t="s">
        <v>462</v>
      </c>
      <c r="B166" s="27"/>
      <c r="C166" s="27"/>
      <c r="D166" s="27"/>
      <c r="E166" s="27"/>
      <c r="F166" s="82"/>
      <c r="H166" s="83"/>
      <c r="I166" s="82"/>
      <c r="J166" s="83"/>
      <c r="K166" s="84"/>
      <c r="L166" s="84"/>
      <c r="M166" s="30"/>
    </row>
    <row r="167" spans="1:13" ht="18" x14ac:dyDescent="0.25">
      <c r="A167" s="171" t="s">
        <v>465</v>
      </c>
      <c r="B167" s="31"/>
      <c r="C167" s="31"/>
      <c r="D167" s="31"/>
      <c r="E167" s="117"/>
      <c r="F167" s="91"/>
      <c r="G167" s="130"/>
      <c r="H167" s="130"/>
      <c r="I167" s="91"/>
      <c r="J167" s="130"/>
      <c r="K167" s="90"/>
      <c r="L167" s="90"/>
      <c r="M167" s="114"/>
    </row>
    <row r="168" spans="1:13" x14ac:dyDescent="0.2">
      <c r="A168" s="89"/>
      <c r="B168" s="28"/>
      <c r="C168" s="82"/>
      <c r="D168" s="82"/>
      <c r="E168" s="82"/>
      <c r="F168" s="82"/>
      <c r="G168" s="85"/>
      <c r="H168" s="85"/>
      <c r="I168" s="85"/>
      <c r="J168" s="85"/>
      <c r="K168" s="84"/>
      <c r="L168" s="84"/>
      <c r="M168" s="27"/>
    </row>
    <row r="171" spans="1:13" x14ac:dyDescent="0.2">
      <c r="I171" s="36"/>
      <c r="J171" s="36"/>
      <c r="K171" s="36"/>
      <c r="L171" s="36"/>
    </row>
    <row r="172" spans="1:13" x14ac:dyDescent="0.2">
      <c r="I172" s="36"/>
      <c r="J172" s="36"/>
      <c r="K172" s="36"/>
      <c r="L172" s="36"/>
    </row>
    <row r="182" spans="6:10" ht="18" x14ac:dyDescent="0.25">
      <c r="F182" s="14"/>
      <c r="G182" s="12"/>
      <c r="H182" s="15"/>
      <c r="I182" s="15"/>
      <c r="J182" s="12"/>
    </row>
    <row r="211" spans="1:13" ht="18" x14ac:dyDescent="0.25">
      <c r="A211" s="89"/>
      <c r="B211" s="27"/>
      <c r="C211" s="27"/>
      <c r="D211" s="27"/>
      <c r="E211" s="27"/>
      <c r="F211" s="82"/>
      <c r="G211" s="83"/>
      <c r="H211" s="83"/>
      <c r="I211" s="82"/>
      <c r="J211" s="83"/>
      <c r="K211" s="84"/>
      <c r="L211" s="84"/>
      <c r="M211" s="27"/>
    </row>
  </sheetData>
  <pageMargins left="0.75" right="0.75" top="1" bottom="1" header="0.5" footer="0.5"/>
  <pageSetup scale="9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July 2015</vt:lpstr>
      <vt:lpstr>Aug 2015</vt:lpstr>
      <vt:lpstr>Sept 2015</vt:lpstr>
      <vt:lpstr>Oct. 2015</vt:lpstr>
      <vt:lpstr>Nov 2015</vt:lpstr>
      <vt:lpstr>Dec. 2015</vt:lpstr>
      <vt:lpstr>Jan. 2016</vt:lpstr>
      <vt:lpstr>Feb. 2016</vt:lpstr>
      <vt:lpstr>March 2016</vt:lpstr>
      <vt:lpstr>April 2016</vt:lpstr>
      <vt:lpstr>May 2016</vt:lpstr>
      <vt:lpstr>June 2016</vt:lpstr>
      <vt:lpstr>TOTAL 2015-16</vt:lpstr>
    </vt:vector>
  </TitlesOfParts>
  <Company>npc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libray</dc:creator>
  <cp:lastModifiedBy>Pirog, Stan</cp:lastModifiedBy>
  <cp:lastPrinted>2016-08-23T22:23:16Z</cp:lastPrinted>
  <dcterms:created xsi:type="dcterms:W3CDTF">2001-08-15T20:10:51Z</dcterms:created>
  <dcterms:modified xsi:type="dcterms:W3CDTF">2017-11-17T18:52:30Z</dcterms:modified>
</cp:coreProperties>
</file>